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filterPrivacy="1" showInkAnnotation="0" updateLinks="never" codeName="ThisWorkbook" defaultThemeVersion="124226"/>
  <xr:revisionPtr revIDLastSave="0" documentId="8_{739130A4-58A2-4A1B-8DA5-E289994CB144}" xr6:coauthVersionLast="43" xr6:coauthVersionMax="43" xr10:uidLastSave="{00000000-0000-0000-0000-000000000000}"/>
  <bookViews>
    <workbookView xWindow="-120" yWindow="-120" windowWidth="29040" windowHeight="15840" tabRatio="744" xr2:uid="{00000000-000D-0000-FFFF-FFFF00000000}"/>
  </bookViews>
  <sheets>
    <sheet name="CD-LINKS scenario protocol" sheetId="47" r:id="rId1"/>
    <sheet name="Read me" sheetId="49" r:id="rId2"/>
    <sheet name="Acknowledgements" sheetId="46" r:id="rId3"/>
    <sheet name="Deliverable 2.1" sheetId="48" r:id="rId4"/>
    <sheet name="Climate Policy Database" sheetId="5" r:id="rId5"/>
    <sheet name="Protocol" sheetId="51" r:id="rId6"/>
    <sheet name="High impact policies" sheetId="26" r:id="rId7"/>
    <sheet name="Protocol reference (numerical)" sheetId="36" r:id="rId8"/>
    <sheet name="CAFE standards" sheetId="31" r:id="rId9"/>
    <sheet name="NDC emission targets" sheetId="42" r:id="rId10"/>
    <sheet name="NDC policies" sheetId="20" r:id="rId11"/>
    <sheet name="Protocol NDCs (numerical)" sheetId="41" r:id="rId12"/>
    <sheet name="Data" sheetId="50" r:id="rId13"/>
    <sheet name="History GHG emissions G20" sheetId="40" r:id="rId14"/>
    <sheet name="NDC information" sheetId="44" r:id="rId15"/>
    <sheet name="LULUCF Indonesia" sheetId="45" r:id="rId16"/>
    <sheet name="Country LULUCF projections" sheetId="52" r:id="rId17"/>
    <sheet name="Argentina" sheetId="53" r:id="rId18"/>
    <sheet name="Australia" sheetId="54" r:id="rId19"/>
    <sheet name="Brazil" sheetId="55" r:id="rId20"/>
    <sheet name="Canada" sheetId="56" r:id="rId21"/>
    <sheet name="China" sheetId="57" r:id="rId22"/>
    <sheet name="EU" sheetId="58" r:id="rId23"/>
    <sheet name="India" sheetId="59" r:id="rId24"/>
    <sheet name="Indonesia" sheetId="60" r:id="rId25"/>
    <sheet name="Japan" sheetId="61" r:id="rId26"/>
    <sheet name="Mexico" sheetId="62" r:id="rId27"/>
    <sheet name="Russia" sheetId="63" r:id="rId28"/>
    <sheet name="Saudi Arabia" sheetId="64" r:id="rId29"/>
    <sheet name="South Africa" sheetId="65" r:id="rId30"/>
    <sheet name="South Korea" sheetId="66" r:id="rId31"/>
    <sheet name="Turkey" sheetId="67" r:id="rId32"/>
    <sheet name="USA" sheetId="68" r:id="rId33"/>
  </sheets>
  <definedNames>
    <definedName name="_xlnm._FilterDatabase" localSheetId="6" hidden="1">'High impact policies'!$A$9:$N$48</definedName>
    <definedName name="_xlnm._FilterDatabase" localSheetId="9" hidden="1">'NDC emission targets'!$AH$82:$AH$83</definedName>
    <definedName name="_xlnm._FilterDatabase" localSheetId="11" hidden="1">'Protocol NDCs (numerical)'!$A$2:$H$67</definedName>
    <definedName name="_xlnm._FilterDatabase" localSheetId="7" hidden="1">'Protocol reference (numerical)'!$C$2:$I$217</definedName>
    <definedName name="CO2_IntensityGasolineDiesel">'CAFE standards'!$V$16</definedName>
    <definedName name="fuel_intensity">'CAFE standards'!$V$2</definedName>
    <definedName name="LiterPerGallon">'CAFE standards'!$V$3</definedName>
    <definedName name="Load">'CAFE standards'!$V$5</definedName>
    <definedName name="load_HeavyTruck">'CAFE standards'!$V$23</definedName>
    <definedName name="load_MedTruck">'CAFE standards'!$V$22</definedName>
    <definedName name="MileToKm">'CAFE standards'!$V$4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3" i="68" l="1"/>
  <c r="D23" i="68"/>
  <c r="B23" i="68"/>
  <c r="I23" i="68" s="1"/>
  <c r="H22" i="68"/>
  <c r="H21" i="68"/>
  <c r="H20" i="68"/>
  <c r="H19" i="68"/>
  <c r="H18" i="68"/>
  <c r="D18" i="68"/>
  <c r="B18" i="68"/>
  <c r="B15" i="68" s="1"/>
  <c r="I15" i="68" s="1"/>
  <c r="H17" i="68"/>
  <c r="H16" i="68"/>
  <c r="D16" i="68"/>
  <c r="H15" i="68"/>
  <c r="H14" i="68"/>
  <c r="D14" i="68"/>
  <c r="H13" i="68"/>
  <c r="H12" i="68"/>
  <c r="D12" i="68"/>
  <c r="B12" i="68"/>
  <c r="H11" i="68"/>
  <c r="D11" i="68"/>
  <c r="B11" i="68"/>
  <c r="H10" i="68"/>
  <c r="D10" i="68"/>
  <c r="B10" i="68"/>
  <c r="J9" i="68"/>
  <c r="H9" i="68"/>
  <c r="D9" i="68"/>
  <c r="B9" i="68"/>
  <c r="H8" i="68"/>
  <c r="J7" i="68"/>
  <c r="H7" i="68"/>
  <c r="B7" i="68"/>
  <c r="H6" i="68"/>
  <c r="D6" i="68"/>
  <c r="B6" i="68"/>
  <c r="H5" i="68"/>
  <c r="G5" i="68"/>
  <c r="D5" i="68"/>
  <c r="B5" i="68"/>
  <c r="H4" i="68"/>
  <c r="B4" i="68"/>
  <c r="H3" i="68"/>
  <c r="G3" i="68"/>
  <c r="D3" i="68"/>
  <c r="D7" i="68" s="1"/>
  <c r="J2" i="68"/>
  <c r="I2" i="68"/>
  <c r="H23" i="67"/>
  <c r="H22" i="67"/>
  <c r="D22" i="67"/>
  <c r="B22" i="67"/>
  <c r="H21" i="67"/>
  <c r="D21" i="67"/>
  <c r="B21" i="67"/>
  <c r="H20" i="67"/>
  <c r="D20" i="67"/>
  <c r="B20" i="67"/>
  <c r="H19" i="67"/>
  <c r="D19" i="67"/>
  <c r="B19" i="67"/>
  <c r="H18" i="67"/>
  <c r="D18" i="67"/>
  <c r="B18" i="67"/>
  <c r="H17" i="67"/>
  <c r="D17" i="67"/>
  <c r="B17" i="67"/>
  <c r="H16" i="67"/>
  <c r="D16" i="67"/>
  <c r="B16" i="67"/>
  <c r="I16" i="67" s="1"/>
  <c r="H15" i="67"/>
  <c r="D15" i="67"/>
  <c r="B15" i="67"/>
  <c r="H14" i="67"/>
  <c r="D14" i="67"/>
  <c r="B14" i="67"/>
  <c r="H13" i="67"/>
  <c r="H12" i="67"/>
  <c r="B12" i="67"/>
  <c r="H11" i="67"/>
  <c r="B11" i="67"/>
  <c r="H10" i="67"/>
  <c r="B10" i="67"/>
  <c r="H9" i="67"/>
  <c r="B9" i="67"/>
  <c r="H8" i="67"/>
  <c r="D8" i="67"/>
  <c r="B8" i="67"/>
  <c r="H7" i="67"/>
  <c r="B7" i="67"/>
  <c r="H6" i="67"/>
  <c r="B6" i="67"/>
  <c r="I6" i="67" s="1"/>
  <c r="H5" i="67"/>
  <c r="G5" i="67"/>
  <c r="B5" i="67"/>
  <c r="H4" i="67"/>
  <c r="B4" i="67"/>
  <c r="H3" i="67"/>
  <c r="G3" i="67"/>
  <c r="I3" i="67" s="1"/>
  <c r="D3" i="67"/>
  <c r="D11" i="67" s="1"/>
  <c r="J11" i="67" s="1"/>
  <c r="J2" i="67"/>
  <c r="I2" i="67"/>
  <c r="H23" i="66"/>
  <c r="H22" i="66"/>
  <c r="H21" i="66"/>
  <c r="H20" i="66"/>
  <c r="H19" i="66"/>
  <c r="H18" i="66"/>
  <c r="H17" i="66"/>
  <c r="H16" i="66"/>
  <c r="H15" i="66"/>
  <c r="H14" i="66"/>
  <c r="B14" i="66"/>
  <c r="B15" i="66" s="1"/>
  <c r="H13" i="66"/>
  <c r="H12" i="66"/>
  <c r="B12" i="66"/>
  <c r="H11" i="66"/>
  <c r="B11" i="66"/>
  <c r="H10" i="66"/>
  <c r="B10" i="66"/>
  <c r="H9" i="66"/>
  <c r="B9" i="66"/>
  <c r="H8" i="66"/>
  <c r="H7" i="66"/>
  <c r="B7" i="66"/>
  <c r="H6" i="66"/>
  <c r="B6" i="66"/>
  <c r="H5" i="66"/>
  <c r="G5" i="66"/>
  <c r="G3" i="66" s="1"/>
  <c r="B5" i="66"/>
  <c r="H4" i="66"/>
  <c r="B4" i="66"/>
  <c r="H3" i="66"/>
  <c r="D3" i="66"/>
  <c r="J2" i="66"/>
  <c r="I2" i="66"/>
  <c r="H23" i="65"/>
  <c r="H22" i="65"/>
  <c r="D22" i="65"/>
  <c r="H21" i="65"/>
  <c r="D21" i="65"/>
  <c r="H20" i="65"/>
  <c r="D20" i="65"/>
  <c r="H19" i="65"/>
  <c r="D19" i="65"/>
  <c r="H18" i="65"/>
  <c r="D18" i="65"/>
  <c r="H17" i="65"/>
  <c r="D17" i="65"/>
  <c r="H16" i="65"/>
  <c r="D16" i="65"/>
  <c r="H15" i="65"/>
  <c r="D15" i="65"/>
  <c r="H14" i="65"/>
  <c r="D14" i="65"/>
  <c r="H13" i="65"/>
  <c r="H12" i="65"/>
  <c r="H11" i="65"/>
  <c r="H10" i="65"/>
  <c r="H9" i="65"/>
  <c r="D9" i="65"/>
  <c r="H8" i="65"/>
  <c r="H7" i="65"/>
  <c r="D7" i="65"/>
  <c r="J7" i="65" s="1"/>
  <c r="H6" i="65"/>
  <c r="H5" i="65"/>
  <c r="G5" i="65"/>
  <c r="G3" i="65" s="1"/>
  <c r="J22" i="65" s="1"/>
  <c r="H4" i="65"/>
  <c r="H3" i="65"/>
  <c r="D3" i="65"/>
  <c r="D12" i="65" s="1"/>
  <c r="J2" i="65"/>
  <c r="I2" i="65"/>
  <c r="H23" i="64"/>
  <c r="H22" i="64"/>
  <c r="H21" i="64"/>
  <c r="H20" i="64"/>
  <c r="H19" i="64"/>
  <c r="H18" i="64"/>
  <c r="H17" i="64"/>
  <c r="H16" i="64"/>
  <c r="H15" i="64"/>
  <c r="H14" i="64"/>
  <c r="H13" i="64"/>
  <c r="H12" i="64"/>
  <c r="H11" i="64"/>
  <c r="H10" i="64"/>
  <c r="H9" i="64"/>
  <c r="H8" i="64"/>
  <c r="H7" i="64"/>
  <c r="H6" i="64"/>
  <c r="H5" i="64"/>
  <c r="G5" i="64"/>
  <c r="G3" i="64" s="1"/>
  <c r="J13" i="64" s="1"/>
  <c r="H4" i="64"/>
  <c r="D4" i="64"/>
  <c r="H3" i="64"/>
  <c r="E3" i="64"/>
  <c r="D3" i="64"/>
  <c r="D7" i="64" s="1"/>
  <c r="J2" i="64"/>
  <c r="I2" i="64"/>
  <c r="M23" i="63"/>
  <c r="J23" i="63"/>
  <c r="M22" i="63"/>
  <c r="D22" i="63"/>
  <c r="B22" i="63"/>
  <c r="M21" i="63"/>
  <c r="D21" i="63"/>
  <c r="J21" i="63" s="1"/>
  <c r="B21" i="63"/>
  <c r="M20" i="63"/>
  <c r="I20" i="63"/>
  <c r="D20" i="63"/>
  <c r="B20" i="63"/>
  <c r="M19" i="63"/>
  <c r="D19" i="63"/>
  <c r="J19" i="63" s="1"/>
  <c r="B19" i="63"/>
  <c r="M18" i="63"/>
  <c r="J18" i="63"/>
  <c r="D18" i="63"/>
  <c r="B18" i="63"/>
  <c r="M17" i="63"/>
  <c r="J17" i="63"/>
  <c r="D17" i="63"/>
  <c r="B17" i="63"/>
  <c r="I17" i="63" s="1"/>
  <c r="M16" i="63"/>
  <c r="D16" i="63"/>
  <c r="J16" i="63" s="1"/>
  <c r="B16" i="63"/>
  <c r="I16" i="63" s="1"/>
  <c r="M15" i="63"/>
  <c r="J15" i="63"/>
  <c r="D15" i="63"/>
  <c r="B15" i="63"/>
  <c r="I15" i="63" s="1"/>
  <c r="M14" i="63"/>
  <c r="I14" i="63"/>
  <c r="D14" i="63"/>
  <c r="J14" i="63" s="1"/>
  <c r="B14" i="63"/>
  <c r="M13" i="63"/>
  <c r="J13" i="63"/>
  <c r="M12" i="63"/>
  <c r="D12" i="63"/>
  <c r="J12" i="63" s="1"/>
  <c r="B12" i="63"/>
  <c r="I12" i="63" s="1"/>
  <c r="M11" i="63"/>
  <c r="D11" i="63"/>
  <c r="J11" i="63" s="1"/>
  <c r="B11" i="63"/>
  <c r="M10" i="63"/>
  <c r="J10" i="63"/>
  <c r="D10" i="63"/>
  <c r="B10" i="63"/>
  <c r="I10" i="63" s="1"/>
  <c r="M9" i="63"/>
  <c r="D9" i="63"/>
  <c r="J9" i="63" s="1"/>
  <c r="B9" i="63"/>
  <c r="M8" i="63"/>
  <c r="D8" i="63"/>
  <c r="J8" i="63" s="1"/>
  <c r="B8" i="63"/>
  <c r="I8" i="63" s="1"/>
  <c r="M7" i="63"/>
  <c r="D7" i="63"/>
  <c r="B7" i="63"/>
  <c r="M6" i="63"/>
  <c r="D6" i="63"/>
  <c r="J6" i="63" s="1"/>
  <c r="B6" i="63"/>
  <c r="I6" i="63" s="1"/>
  <c r="M5" i="63"/>
  <c r="L5" i="63"/>
  <c r="I5" i="63"/>
  <c r="G5" i="63"/>
  <c r="D5" i="63"/>
  <c r="J5" i="63" s="1"/>
  <c r="B5" i="63"/>
  <c r="M4" i="63"/>
  <c r="D4" i="63"/>
  <c r="J4" i="63" s="1"/>
  <c r="B4" i="63"/>
  <c r="M3" i="63"/>
  <c r="J3" i="63"/>
  <c r="I3" i="63"/>
  <c r="G3" i="63"/>
  <c r="I23" i="63" s="1"/>
  <c r="J2" i="63"/>
  <c r="I2" i="63"/>
  <c r="N2" i="63" s="1"/>
  <c r="H23" i="62"/>
  <c r="H22" i="62"/>
  <c r="H21" i="62"/>
  <c r="H20" i="62"/>
  <c r="H19" i="62"/>
  <c r="H18" i="62"/>
  <c r="H17" i="62"/>
  <c r="H16" i="62"/>
  <c r="H15" i="62"/>
  <c r="H14" i="62"/>
  <c r="D14" i="62"/>
  <c r="D15" i="62" s="1"/>
  <c r="D16" i="62" s="1"/>
  <c r="B14" i="62"/>
  <c r="H13" i="62"/>
  <c r="H12" i="62"/>
  <c r="B12" i="62"/>
  <c r="H11" i="62"/>
  <c r="B11" i="62"/>
  <c r="H10" i="62"/>
  <c r="B10" i="62"/>
  <c r="H9" i="62"/>
  <c r="D9" i="62"/>
  <c r="J9" i="62" s="1"/>
  <c r="B9" i="62"/>
  <c r="H8" i="62"/>
  <c r="B8" i="62"/>
  <c r="H7" i="62"/>
  <c r="B7" i="62"/>
  <c r="I7" i="62" s="1"/>
  <c r="H6" i="62"/>
  <c r="D6" i="62"/>
  <c r="J6" i="62" s="1"/>
  <c r="B6" i="62"/>
  <c r="H5" i="62"/>
  <c r="G5" i="62"/>
  <c r="G3" i="62" s="1"/>
  <c r="I3" i="62" s="1"/>
  <c r="B5" i="62"/>
  <c r="I5" i="62" s="1"/>
  <c r="H4" i="62"/>
  <c r="B4" i="62"/>
  <c r="I4" i="62" s="1"/>
  <c r="H3" i="62"/>
  <c r="D3" i="62"/>
  <c r="D12" i="62" s="1"/>
  <c r="J12" i="62" s="1"/>
  <c r="J2" i="62"/>
  <c r="I2" i="62"/>
  <c r="M23" i="61"/>
  <c r="H23" i="61"/>
  <c r="M22" i="61"/>
  <c r="H22" i="61"/>
  <c r="D22" i="61"/>
  <c r="M21" i="61"/>
  <c r="H21" i="61"/>
  <c r="D21" i="61"/>
  <c r="J21" i="61" s="1"/>
  <c r="M20" i="61"/>
  <c r="H20" i="61"/>
  <c r="D20" i="61"/>
  <c r="M19" i="61"/>
  <c r="H19" i="61"/>
  <c r="D19" i="61"/>
  <c r="M18" i="61"/>
  <c r="H18" i="61"/>
  <c r="D18" i="61"/>
  <c r="M17" i="61"/>
  <c r="H17" i="61"/>
  <c r="D17" i="61"/>
  <c r="J17" i="61" s="1"/>
  <c r="M16" i="61"/>
  <c r="H16" i="61"/>
  <c r="D16" i="61"/>
  <c r="M15" i="61"/>
  <c r="H15" i="61"/>
  <c r="D15" i="61"/>
  <c r="M14" i="61"/>
  <c r="H14" i="61"/>
  <c r="D14" i="61"/>
  <c r="J14" i="61" s="1"/>
  <c r="M13" i="61"/>
  <c r="J13" i="61"/>
  <c r="H13" i="61"/>
  <c r="M12" i="61"/>
  <c r="H12" i="61"/>
  <c r="D12" i="61"/>
  <c r="M11" i="61"/>
  <c r="H11" i="61"/>
  <c r="M10" i="61"/>
  <c r="H10" i="61"/>
  <c r="M9" i="61"/>
  <c r="H9" i="61"/>
  <c r="M8" i="61"/>
  <c r="H8" i="61"/>
  <c r="M7" i="61"/>
  <c r="H7" i="61"/>
  <c r="D7" i="61"/>
  <c r="M6" i="61"/>
  <c r="H6" i="61"/>
  <c r="M5" i="61"/>
  <c r="L5" i="61"/>
  <c r="H5" i="61"/>
  <c r="D5" i="61"/>
  <c r="J5" i="61" s="1"/>
  <c r="M4" i="61"/>
  <c r="H4" i="61"/>
  <c r="M3" i="61"/>
  <c r="H3" i="61"/>
  <c r="G3" i="61"/>
  <c r="J20" i="61" s="1"/>
  <c r="D3" i="61"/>
  <c r="D10" i="61" s="1"/>
  <c r="J2" i="61"/>
  <c r="I2" i="61"/>
  <c r="M23" i="60"/>
  <c r="M22" i="60"/>
  <c r="D22" i="60"/>
  <c r="J22" i="60" s="1"/>
  <c r="B22" i="60"/>
  <c r="I22" i="60" s="1"/>
  <c r="M21" i="60"/>
  <c r="D21" i="60"/>
  <c r="B21" i="60"/>
  <c r="M20" i="60"/>
  <c r="D20" i="60"/>
  <c r="B20" i="60"/>
  <c r="I20" i="60" s="1"/>
  <c r="M19" i="60"/>
  <c r="D19" i="60"/>
  <c r="J19" i="60" s="1"/>
  <c r="B19" i="60"/>
  <c r="M18" i="60"/>
  <c r="D18" i="60"/>
  <c r="B18" i="60"/>
  <c r="M17" i="60"/>
  <c r="D17" i="60"/>
  <c r="B17" i="60"/>
  <c r="M16" i="60"/>
  <c r="D16" i="60"/>
  <c r="B16" i="60"/>
  <c r="I16" i="60" s="1"/>
  <c r="M15" i="60"/>
  <c r="D15" i="60"/>
  <c r="B15" i="60"/>
  <c r="M14" i="60"/>
  <c r="D14" i="60"/>
  <c r="B14" i="60"/>
  <c r="I14" i="60" s="1"/>
  <c r="M13" i="60"/>
  <c r="M12" i="60"/>
  <c r="D12" i="60"/>
  <c r="B12" i="60"/>
  <c r="M11" i="60"/>
  <c r="D11" i="60"/>
  <c r="B11" i="60"/>
  <c r="M10" i="60"/>
  <c r="D10" i="60"/>
  <c r="B10" i="60"/>
  <c r="I10" i="60" s="1"/>
  <c r="M9" i="60"/>
  <c r="D9" i="60"/>
  <c r="J9" i="60" s="1"/>
  <c r="B9" i="60"/>
  <c r="I9" i="60" s="1"/>
  <c r="M8" i="60"/>
  <c r="J8" i="60"/>
  <c r="I8" i="60"/>
  <c r="D8" i="60"/>
  <c r="B8" i="60"/>
  <c r="M7" i="60"/>
  <c r="D7" i="60"/>
  <c r="B7" i="60"/>
  <c r="M6" i="60"/>
  <c r="I6" i="60"/>
  <c r="D6" i="60"/>
  <c r="J6" i="60" s="1"/>
  <c r="B6" i="60"/>
  <c r="M5" i="60"/>
  <c r="L5" i="60"/>
  <c r="I5" i="60"/>
  <c r="D5" i="60"/>
  <c r="B5" i="60"/>
  <c r="M4" i="60"/>
  <c r="J4" i="60"/>
  <c r="D4" i="60"/>
  <c r="B4" i="60"/>
  <c r="I4" i="60" s="1"/>
  <c r="M3" i="60"/>
  <c r="J3" i="60"/>
  <c r="G3" i="60"/>
  <c r="I17" i="60" s="1"/>
  <c r="J2" i="60"/>
  <c r="I2" i="60"/>
  <c r="N2" i="60" s="1"/>
  <c r="H23" i="59"/>
  <c r="H22" i="59"/>
  <c r="H21" i="59"/>
  <c r="H20" i="59"/>
  <c r="H19" i="59"/>
  <c r="D19" i="59"/>
  <c r="D20" i="59" s="1"/>
  <c r="H18" i="59"/>
  <c r="H17" i="59"/>
  <c r="D17" i="59"/>
  <c r="J17" i="59" s="1"/>
  <c r="H16" i="59"/>
  <c r="D16" i="59"/>
  <c r="H15" i="59"/>
  <c r="D15" i="59"/>
  <c r="H14" i="59"/>
  <c r="D14" i="59"/>
  <c r="H13" i="59"/>
  <c r="H12" i="59"/>
  <c r="D12" i="59"/>
  <c r="J12" i="59" s="1"/>
  <c r="H11" i="59"/>
  <c r="D11" i="59"/>
  <c r="H10" i="59"/>
  <c r="D10" i="59"/>
  <c r="J10" i="59" s="1"/>
  <c r="H9" i="59"/>
  <c r="D9" i="59"/>
  <c r="J9" i="59" s="1"/>
  <c r="H8" i="59"/>
  <c r="H7" i="59"/>
  <c r="H6" i="59"/>
  <c r="H5" i="59"/>
  <c r="G5" i="59"/>
  <c r="G3" i="59" s="1"/>
  <c r="J13" i="59" s="1"/>
  <c r="H4" i="59"/>
  <c r="I3" i="59"/>
  <c r="H3" i="59"/>
  <c r="D3" i="59"/>
  <c r="D6" i="59" s="1"/>
  <c r="J6" i="59" s="1"/>
  <c r="J2" i="59"/>
  <c r="I2" i="59"/>
  <c r="M23" i="58"/>
  <c r="H23" i="58"/>
  <c r="M22" i="58"/>
  <c r="H22" i="58"/>
  <c r="D22" i="58"/>
  <c r="M21" i="58"/>
  <c r="H21" i="58"/>
  <c r="D21" i="58"/>
  <c r="M20" i="58"/>
  <c r="H20" i="58"/>
  <c r="D20" i="58"/>
  <c r="M19" i="58"/>
  <c r="H19" i="58"/>
  <c r="D19" i="58"/>
  <c r="M18" i="58"/>
  <c r="H18" i="58"/>
  <c r="D18" i="58"/>
  <c r="M17" i="58"/>
  <c r="H17" i="58"/>
  <c r="D17" i="58"/>
  <c r="J17" i="58" s="1"/>
  <c r="M16" i="58"/>
  <c r="H16" i="58"/>
  <c r="D16" i="58"/>
  <c r="M15" i="58"/>
  <c r="H15" i="58"/>
  <c r="D15" i="58"/>
  <c r="J15" i="58" s="1"/>
  <c r="M14" i="58"/>
  <c r="H14" i="58"/>
  <c r="D14" i="58"/>
  <c r="M13" i="58"/>
  <c r="H13" i="58"/>
  <c r="M12" i="58"/>
  <c r="H12" i="58"/>
  <c r="M11" i="58"/>
  <c r="H11" i="58"/>
  <c r="M10" i="58"/>
  <c r="H10" i="58"/>
  <c r="M9" i="58"/>
  <c r="H9" i="58"/>
  <c r="M8" i="58"/>
  <c r="H8" i="58"/>
  <c r="M7" i="58"/>
  <c r="H7" i="58"/>
  <c r="M6" i="58"/>
  <c r="H6" i="58"/>
  <c r="M5" i="58"/>
  <c r="L5" i="58"/>
  <c r="H5" i="58"/>
  <c r="M4" i="58"/>
  <c r="H4" i="58"/>
  <c r="M3" i="58"/>
  <c r="L3" i="58"/>
  <c r="H3" i="58"/>
  <c r="G3" i="58"/>
  <c r="D3" i="58"/>
  <c r="D9" i="58" s="1"/>
  <c r="J2" i="58"/>
  <c r="I2" i="58"/>
  <c r="H23" i="57"/>
  <c r="H22" i="57"/>
  <c r="D22" i="57"/>
  <c r="H21" i="57"/>
  <c r="D21" i="57"/>
  <c r="H20" i="57"/>
  <c r="D20" i="57"/>
  <c r="J20" i="57" s="1"/>
  <c r="H19" i="57"/>
  <c r="D19" i="57"/>
  <c r="H18" i="57"/>
  <c r="D18" i="57"/>
  <c r="H17" i="57"/>
  <c r="D17" i="57"/>
  <c r="H16" i="57"/>
  <c r="D16" i="57"/>
  <c r="H15" i="57"/>
  <c r="D15" i="57"/>
  <c r="H14" i="57"/>
  <c r="D14" i="57"/>
  <c r="H13" i="57"/>
  <c r="H12" i="57"/>
  <c r="H11" i="57"/>
  <c r="H10" i="57"/>
  <c r="H9" i="57"/>
  <c r="H8" i="57"/>
  <c r="H7" i="57"/>
  <c r="H6" i="57"/>
  <c r="H5" i="57"/>
  <c r="G5" i="57"/>
  <c r="G3" i="57" s="1"/>
  <c r="J18" i="57" s="1"/>
  <c r="H4" i="57"/>
  <c r="D4" i="57"/>
  <c r="H3" i="57"/>
  <c r="D3" i="57"/>
  <c r="D10" i="57" s="1"/>
  <c r="J2" i="57"/>
  <c r="I2" i="57"/>
  <c r="M23" i="56"/>
  <c r="H23" i="56"/>
  <c r="M22" i="56"/>
  <c r="H22" i="56"/>
  <c r="D22" i="56"/>
  <c r="M21" i="56"/>
  <c r="H21" i="56"/>
  <c r="D21" i="56"/>
  <c r="M20" i="56"/>
  <c r="H20" i="56"/>
  <c r="D20" i="56"/>
  <c r="M19" i="56"/>
  <c r="H19" i="56"/>
  <c r="D19" i="56"/>
  <c r="M18" i="56"/>
  <c r="H18" i="56"/>
  <c r="D18" i="56"/>
  <c r="M17" i="56"/>
  <c r="H17" i="56"/>
  <c r="D17" i="56"/>
  <c r="M16" i="56"/>
  <c r="H16" i="56"/>
  <c r="D16" i="56"/>
  <c r="M15" i="56"/>
  <c r="H15" i="56"/>
  <c r="D15" i="56"/>
  <c r="M14" i="56"/>
  <c r="H14" i="56"/>
  <c r="D14" i="56"/>
  <c r="M13" i="56"/>
  <c r="H13" i="56"/>
  <c r="M12" i="56"/>
  <c r="H12" i="56"/>
  <c r="M11" i="56"/>
  <c r="H11" i="56"/>
  <c r="M10" i="56"/>
  <c r="H10" i="56"/>
  <c r="M9" i="56"/>
  <c r="H9" i="56"/>
  <c r="M8" i="56"/>
  <c r="H8" i="56"/>
  <c r="D8" i="56"/>
  <c r="O7" i="56"/>
  <c r="N7" i="56"/>
  <c r="M7" i="56"/>
  <c r="H7" i="56"/>
  <c r="O6" i="56"/>
  <c r="N6" i="56"/>
  <c r="M6" i="56"/>
  <c r="H6" i="56"/>
  <c r="O5" i="56"/>
  <c r="N5" i="56"/>
  <c r="M5" i="56"/>
  <c r="L5" i="56"/>
  <c r="L3" i="56" s="1"/>
  <c r="O13" i="56" s="1"/>
  <c r="H5" i="56"/>
  <c r="O4" i="56"/>
  <c r="N4" i="56"/>
  <c r="M4" i="56"/>
  <c r="H4" i="56"/>
  <c r="O3" i="56"/>
  <c r="N3" i="56"/>
  <c r="M3" i="56"/>
  <c r="H3" i="56"/>
  <c r="G3" i="56"/>
  <c r="J13" i="56" s="1"/>
  <c r="J2" i="56"/>
  <c r="I2" i="56"/>
  <c r="H23" i="55"/>
  <c r="H22" i="55"/>
  <c r="D22" i="55"/>
  <c r="B22" i="55"/>
  <c r="H21" i="55"/>
  <c r="D21" i="55"/>
  <c r="B21" i="55"/>
  <c r="H20" i="55"/>
  <c r="D20" i="55"/>
  <c r="B20" i="55"/>
  <c r="H19" i="55"/>
  <c r="D19" i="55"/>
  <c r="B19" i="55"/>
  <c r="H18" i="55"/>
  <c r="D18" i="55"/>
  <c r="B18" i="55"/>
  <c r="H17" i="55"/>
  <c r="D17" i="55"/>
  <c r="J17" i="55" s="1"/>
  <c r="B17" i="55"/>
  <c r="H16" i="55"/>
  <c r="D16" i="55"/>
  <c r="B16" i="55"/>
  <c r="H15" i="55"/>
  <c r="D15" i="55"/>
  <c r="B15" i="55"/>
  <c r="H14" i="55"/>
  <c r="D14" i="55"/>
  <c r="B14" i="55"/>
  <c r="H13" i="55"/>
  <c r="H12" i="55"/>
  <c r="B12" i="55"/>
  <c r="H11" i="55"/>
  <c r="B11" i="55"/>
  <c r="H10" i="55"/>
  <c r="D10" i="55"/>
  <c r="B10" i="55"/>
  <c r="H9" i="55"/>
  <c r="B9" i="55"/>
  <c r="H8" i="55"/>
  <c r="B8" i="55"/>
  <c r="H7" i="55"/>
  <c r="B7" i="55"/>
  <c r="H6" i="55"/>
  <c r="B6" i="55"/>
  <c r="H5" i="55"/>
  <c r="G5" i="55"/>
  <c r="G3" i="55" s="1"/>
  <c r="B5" i="55"/>
  <c r="H4" i="55"/>
  <c r="B4" i="55"/>
  <c r="H3" i="55"/>
  <c r="D3" i="55"/>
  <c r="D12" i="55" s="1"/>
  <c r="J2" i="55"/>
  <c r="I2" i="55"/>
  <c r="M23" i="54"/>
  <c r="H23" i="54"/>
  <c r="M22" i="54"/>
  <c r="H22" i="54"/>
  <c r="D22" i="54"/>
  <c r="B22" i="54"/>
  <c r="M21" i="54"/>
  <c r="H21" i="54"/>
  <c r="D21" i="54"/>
  <c r="B21" i="54"/>
  <c r="M20" i="54"/>
  <c r="H20" i="54"/>
  <c r="D20" i="54"/>
  <c r="B20" i="54"/>
  <c r="I20" i="54" s="1"/>
  <c r="M19" i="54"/>
  <c r="H19" i="54"/>
  <c r="D19" i="54"/>
  <c r="B19" i="54"/>
  <c r="M18" i="54"/>
  <c r="H18" i="54"/>
  <c r="D18" i="54"/>
  <c r="B18" i="54"/>
  <c r="M17" i="54"/>
  <c r="H17" i="54"/>
  <c r="D17" i="54"/>
  <c r="B17" i="54"/>
  <c r="M16" i="54"/>
  <c r="H16" i="54"/>
  <c r="D16" i="54"/>
  <c r="B16" i="54"/>
  <c r="M15" i="54"/>
  <c r="H15" i="54"/>
  <c r="D15" i="54"/>
  <c r="J15" i="54" s="1"/>
  <c r="B15" i="54"/>
  <c r="M14" i="54"/>
  <c r="I14" i="54"/>
  <c r="H14" i="54"/>
  <c r="D14" i="54"/>
  <c r="B14" i="54"/>
  <c r="M13" i="54"/>
  <c r="H13" i="54"/>
  <c r="M12" i="54"/>
  <c r="H12" i="54"/>
  <c r="B12" i="54"/>
  <c r="I12" i="54" s="1"/>
  <c r="M11" i="54"/>
  <c r="H11" i="54"/>
  <c r="B11" i="54"/>
  <c r="M10" i="54"/>
  <c r="H10" i="54"/>
  <c r="B10" i="54"/>
  <c r="I10" i="54" s="1"/>
  <c r="M9" i="54"/>
  <c r="H9" i="54"/>
  <c r="B9" i="54"/>
  <c r="M8" i="54"/>
  <c r="H8" i="54"/>
  <c r="B8" i="54"/>
  <c r="M7" i="54"/>
  <c r="H7" i="54"/>
  <c r="B7" i="54"/>
  <c r="I7" i="54" s="1"/>
  <c r="M6" i="54"/>
  <c r="H6" i="54"/>
  <c r="B6" i="54"/>
  <c r="M5" i="54"/>
  <c r="L5" i="54"/>
  <c r="H5" i="54"/>
  <c r="B5" i="54"/>
  <c r="M4" i="54"/>
  <c r="H4" i="54"/>
  <c r="B4" i="54"/>
  <c r="M3" i="54"/>
  <c r="H3" i="54"/>
  <c r="G3" i="54"/>
  <c r="D3" i="54"/>
  <c r="D10" i="54" s="1"/>
  <c r="J2" i="54"/>
  <c r="I2" i="54"/>
  <c r="H23" i="53"/>
  <c r="H22" i="53"/>
  <c r="D22" i="53"/>
  <c r="H21" i="53"/>
  <c r="D21" i="53"/>
  <c r="H20" i="53"/>
  <c r="D20" i="53"/>
  <c r="H19" i="53"/>
  <c r="D19" i="53"/>
  <c r="H18" i="53"/>
  <c r="D18" i="53"/>
  <c r="J18" i="53" s="1"/>
  <c r="H17" i="53"/>
  <c r="D17" i="53"/>
  <c r="H16" i="53"/>
  <c r="D16" i="53"/>
  <c r="H15" i="53"/>
  <c r="D15" i="53"/>
  <c r="H14" i="53"/>
  <c r="D14" i="53"/>
  <c r="H13" i="53"/>
  <c r="H12" i="53"/>
  <c r="H11" i="53"/>
  <c r="H10" i="53"/>
  <c r="H9" i="53"/>
  <c r="H8" i="53"/>
  <c r="H7" i="53"/>
  <c r="H6" i="53"/>
  <c r="H5" i="53"/>
  <c r="G5" i="53"/>
  <c r="H4" i="53"/>
  <c r="D4" i="53"/>
  <c r="J4" i="53" s="1"/>
  <c r="H3" i="53"/>
  <c r="G3" i="53"/>
  <c r="J22" i="53" s="1"/>
  <c r="D3" i="53"/>
  <c r="D11" i="53" s="1"/>
  <c r="J2" i="53"/>
  <c r="I2" i="53"/>
  <c r="I12" i="55" l="1"/>
  <c r="J16" i="62"/>
  <c r="D17" i="62"/>
  <c r="N8" i="63"/>
  <c r="I6" i="55"/>
  <c r="I22" i="55"/>
  <c r="I4" i="67"/>
  <c r="D9" i="67"/>
  <c r="J9" i="67" s="1"/>
  <c r="B19" i="68"/>
  <c r="I19" i="68" s="1"/>
  <c r="O16" i="56"/>
  <c r="I16" i="54"/>
  <c r="N18" i="54"/>
  <c r="D6" i="57"/>
  <c r="J6" i="57" s="1"/>
  <c r="D12" i="57"/>
  <c r="J3" i="59"/>
  <c r="J7" i="60"/>
  <c r="D5" i="62"/>
  <c r="J5" i="62" s="1"/>
  <c r="I11" i="62"/>
  <c r="D4" i="65"/>
  <c r="J4" i="65" s="1"/>
  <c r="I15" i="67"/>
  <c r="J19" i="67"/>
  <c r="I19" i="55"/>
  <c r="N10" i="63"/>
  <c r="J16" i="57"/>
  <c r="J18" i="54"/>
  <c r="I9" i="55"/>
  <c r="J14" i="56"/>
  <c r="J19" i="56"/>
  <c r="J10" i="57"/>
  <c r="D4" i="59"/>
  <c r="J4" i="59" s="1"/>
  <c r="J17" i="60"/>
  <c r="I8" i="62"/>
  <c r="J14" i="62"/>
  <c r="N23" i="63"/>
  <c r="I9" i="63"/>
  <c r="J7" i="64"/>
  <c r="D22" i="64"/>
  <c r="J22" i="64" s="1"/>
  <c r="D12" i="67"/>
  <c r="I7" i="55"/>
  <c r="J22" i="57"/>
  <c r="L3" i="54"/>
  <c r="D5" i="53"/>
  <c r="J5" i="53" s="1"/>
  <c r="I22" i="54"/>
  <c r="J12" i="55"/>
  <c r="D9" i="55"/>
  <c r="J9" i="55" s="1"/>
  <c r="I18" i="55"/>
  <c r="J20" i="60"/>
  <c r="I12" i="62"/>
  <c r="L3" i="63"/>
  <c r="N3" i="63" s="1"/>
  <c r="O5" i="63"/>
  <c r="I7" i="63"/>
  <c r="N7" i="63" s="1"/>
  <c r="I22" i="63"/>
  <c r="N22" i="63" s="1"/>
  <c r="J14" i="65"/>
  <c r="D5" i="67"/>
  <c r="J5" i="67" s="1"/>
  <c r="I22" i="67"/>
  <c r="B17" i="68"/>
  <c r="I17" i="68" s="1"/>
  <c r="D4" i="54"/>
  <c r="I6" i="54"/>
  <c r="D8" i="54"/>
  <c r="J8" i="54" s="1"/>
  <c r="O8" i="56"/>
  <c r="D8" i="57"/>
  <c r="J8" i="57" s="1"/>
  <c r="J14" i="57"/>
  <c r="J21" i="57"/>
  <c r="J22" i="58"/>
  <c r="I12" i="60"/>
  <c r="J15" i="60"/>
  <c r="I18" i="60"/>
  <c r="J3" i="61"/>
  <c r="D6" i="61"/>
  <c r="J6" i="61" s="1"/>
  <c r="J15" i="61"/>
  <c r="J3" i="62"/>
  <c r="I6" i="62"/>
  <c r="J7" i="63"/>
  <c r="I18" i="63"/>
  <c r="J20" i="63"/>
  <c r="J22" i="63"/>
  <c r="D5" i="65"/>
  <c r="J5" i="65" s="1"/>
  <c r="D10" i="67"/>
  <c r="J18" i="67"/>
  <c r="J20" i="53"/>
  <c r="O14" i="54"/>
  <c r="I8" i="55"/>
  <c r="J11" i="53"/>
  <c r="N17" i="54"/>
  <c r="J17" i="56"/>
  <c r="J20" i="56"/>
  <c r="J4" i="57"/>
  <c r="J18" i="60"/>
  <c r="N16" i="63"/>
  <c r="N20" i="63"/>
  <c r="J9" i="65"/>
  <c r="J8" i="67"/>
  <c r="J13" i="67"/>
  <c r="I21" i="67"/>
  <c r="J10" i="55"/>
  <c r="N14" i="63"/>
  <c r="J4" i="64"/>
  <c r="D7" i="53"/>
  <c r="J7" i="53" s="1"/>
  <c r="J21" i="53"/>
  <c r="I9" i="54"/>
  <c r="D11" i="54"/>
  <c r="J11" i="54" s="1"/>
  <c r="J21" i="54"/>
  <c r="J14" i="55"/>
  <c r="I17" i="55"/>
  <c r="J19" i="55"/>
  <c r="J18" i="56"/>
  <c r="J19" i="57"/>
  <c r="D7" i="59"/>
  <c r="J7" i="59" s="1"/>
  <c r="J21" i="60"/>
  <c r="J16" i="61"/>
  <c r="I4" i="63"/>
  <c r="N4" i="63" s="1"/>
  <c r="O8" i="63"/>
  <c r="I21" i="63"/>
  <c r="J12" i="65"/>
  <c r="D11" i="65"/>
  <c r="J11" i="65" s="1"/>
  <c r="D6" i="67"/>
  <c r="O8" i="54"/>
  <c r="N14" i="54"/>
  <c r="I19" i="54"/>
  <c r="J13" i="53"/>
  <c r="J3" i="53"/>
  <c r="J23" i="53"/>
  <c r="I3" i="53"/>
  <c r="J16" i="53"/>
  <c r="J19" i="53"/>
  <c r="O23" i="56"/>
  <c r="O17" i="56"/>
  <c r="O18" i="56"/>
  <c r="N8" i="56"/>
  <c r="D12" i="56"/>
  <c r="J8" i="56"/>
  <c r="D11" i="56"/>
  <c r="D9" i="56"/>
  <c r="D10" i="56"/>
  <c r="O19" i="56"/>
  <c r="O9" i="58"/>
  <c r="J9" i="58"/>
  <c r="O20" i="58"/>
  <c r="J20" i="58"/>
  <c r="J14" i="53"/>
  <c r="J17" i="53"/>
  <c r="O10" i="54"/>
  <c r="J10" i="54"/>
  <c r="O23" i="54"/>
  <c r="O13" i="54"/>
  <c r="N23" i="54"/>
  <c r="N13" i="54"/>
  <c r="N7" i="54"/>
  <c r="N10" i="54"/>
  <c r="N20" i="54"/>
  <c r="O22" i="56"/>
  <c r="J3" i="66"/>
  <c r="I6" i="66"/>
  <c r="I13" i="66"/>
  <c r="I8" i="66"/>
  <c r="I5" i="66"/>
  <c r="I3" i="66"/>
  <c r="O21" i="56"/>
  <c r="J21" i="56"/>
  <c r="O22" i="58"/>
  <c r="O16" i="58"/>
  <c r="O13" i="58"/>
  <c r="O17" i="58"/>
  <c r="O18" i="58"/>
  <c r="N3" i="58"/>
  <c r="O23" i="58"/>
  <c r="J15" i="53"/>
  <c r="I23" i="54"/>
  <c r="I13" i="54"/>
  <c r="J20" i="54"/>
  <c r="J3" i="54"/>
  <c r="I21" i="54"/>
  <c r="I18" i="54"/>
  <c r="I15" i="54"/>
  <c r="I11" i="54"/>
  <c r="I8" i="54"/>
  <c r="I3" i="54"/>
  <c r="J14" i="54"/>
  <c r="J23" i="54"/>
  <c r="J13" i="54"/>
  <c r="J17" i="54"/>
  <c r="I5" i="54"/>
  <c r="N15" i="54"/>
  <c r="O16" i="54"/>
  <c r="I17" i="54"/>
  <c r="O18" i="54"/>
  <c r="O20" i="54"/>
  <c r="J23" i="55"/>
  <c r="J13" i="55"/>
  <c r="I23" i="55"/>
  <c r="I13" i="55"/>
  <c r="J3" i="55"/>
  <c r="J22" i="55"/>
  <c r="J16" i="55"/>
  <c r="J21" i="55"/>
  <c r="I20" i="55"/>
  <c r="J15" i="55"/>
  <c r="I14" i="55"/>
  <c r="I10" i="55"/>
  <c r="I3" i="55"/>
  <c r="I15" i="55"/>
  <c r="I5" i="55"/>
  <c r="I21" i="55"/>
  <c r="I11" i="55"/>
  <c r="I4" i="55"/>
  <c r="I16" i="55"/>
  <c r="J18" i="55"/>
  <c r="J20" i="55"/>
  <c r="O15" i="56"/>
  <c r="J15" i="56"/>
  <c r="N6" i="54"/>
  <c r="N9" i="54"/>
  <c r="N19" i="54"/>
  <c r="J16" i="56"/>
  <c r="D6" i="53"/>
  <c r="J6" i="53" s="1"/>
  <c r="D8" i="53"/>
  <c r="J8" i="53" s="1"/>
  <c r="D10" i="53"/>
  <c r="J10" i="53" s="1"/>
  <c r="D12" i="53"/>
  <c r="J12" i="53" s="1"/>
  <c r="I4" i="54"/>
  <c r="D5" i="54"/>
  <c r="J16" i="54"/>
  <c r="J19" i="54"/>
  <c r="J22" i="54"/>
  <c r="D4" i="55"/>
  <c r="J4" i="55" s="1"/>
  <c r="D11" i="55"/>
  <c r="J11" i="55" s="1"/>
  <c r="O14" i="56"/>
  <c r="O20" i="56"/>
  <c r="J23" i="56"/>
  <c r="O15" i="58"/>
  <c r="J16" i="58"/>
  <c r="J18" i="58"/>
  <c r="J21" i="58"/>
  <c r="J11" i="59"/>
  <c r="D21" i="59"/>
  <c r="J20" i="59"/>
  <c r="N6" i="63"/>
  <c r="O9" i="63"/>
  <c r="O14" i="63"/>
  <c r="N17" i="63"/>
  <c r="O20" i="63"/>
  <c r="J13" i="65"/>
  <c r="J3" i="65"/>
  <c r="I3" i="65"/>
  <c r="J23" i="65"/>
  <c r="J16" i="65"/>
  <c r="J8" i="68"/>
  <c r="I13" i="68"/>
  <c r="J23" i="68"/>
  <c r="I10" i="68"/>
  <c r="I6" i="68"/>
  <c r="I3" i="68"/>
  <c r="J13" i="68"/>
  <c r="J11" i="68"/>
  <c r="I8" i="68"/>
  <c r="J5" i="68"/>
  <c r="I18" i="68"/>
  <c r="J19" i="61"/>
  <c r="N16" i="54"/>
  <c r="J10" i="61"/>
  <c r="D9" i="53"/>
  <c r="J9" i="53" s="1"/>
  <c r="D6" i="54"/>
  <c r="D9" i="54"/>
  <c r="D12" i="54"/>
  <c r="D8" i="55"/>
  <c r="J8" i="55" s="1"/>
  <c r="I8" i="56"/>
  <c r="O14" i="58"/>
  <c r="J14" i="58"/>
  <c r="J15" i="59"/>
  <c r="O19" i="63"/>
  <c r="D12" i="64"/>
  <c r="J12" i="64" s="1"/>
  <c r="D10" i="64"/>
  <c r="J10" i="64" s="1"/>
  <c r="D8" i="64"/>
  <c r="J8" i="64" s="1"/>
  <c r="D6" i="64"/>
  <c r="J6" i="64" s="1"/>
  <c r="J3" i="64"/>
  <c r="D21" i="64"/>
  <c r="J21" i="64" s="1"/>
  <c r="D19" i="64"/>
  <c r="J19" i="64" s="1"/>
  <c r="D17" i="64"/>
  <c r="J17" i="64" s="1"/>
  <c r="D15" i="64"/>
  <c r="J15" i="64" s="1"/>
  <c r="D5" i="64"/>
  <c r="J5" i="64" s="1"/>
  <c r="D18" i="64"/>
  <c r="J18" i="64" s="1"/>
  <c r="D11" i="64"/>
  <c r="J11" i="64" s="1"/>
  <c r="D20" i="64"/>
  <c r="J20" i="64" s="1"/>
  <c r="D14" i="64"/>
  <c r="J14" i="64" s="1"/>
  <c r="D9" i="64"/>
  <c r="J9" i="64" s="1"/>
  <c r="J12" i="61"/>
  <c r="O12" i="61"/>
  <c r="N12" i="54"/>
  <c r="N22" i="54"/>
  <c r="I12" i="66"/>
  <c r="D7" i="55"/>
  <c r="J7" i="55" s="1"/>
  <c r="D11" i="57"/>
  <c r="J11" i="57" s="1"/>
  <c r="D9" i="57"/>
  <c r="J9" i="57" s="1"/>
  <c r="D7" i="57"/>
  <c r="J7" i="57" s="1"/>
  <c r="J3" i="57"/>
  <c r="D5" i="57"/>
  <c r="J5" i="57" s="1"/>
  <c r="J17" i="57"/>
  <c r="D11" i="58"/>
  <c r="D4" i="58"/>
  <c r="D12" i="58"/>
  <c r="D6" i="58"/>
  <c r="D5" i="58"/>
  <c r="O3" i="58"/>
  <c r="D7" i="58"/>
  <c r="D10" i="58"/>
  <c r="J3" i="58"/>
  <c r="D8" i="58"/>
  <c r="J19" i="58"/>
  <c r="O19" i="58"/>
  <c r="O21" i="58"/>
  <c r="J16" i="59"/>
  <c r="J19" i="59"/>
  <c r="D18" i="62"/>
  <c r="J17" i="62"/>
  <c r="O3" i="63"/>
  <c r="N21" i="63"/>
  <c r="O10" i="63"/>
  <c r="N9" i="63"/>
  <c r="O18" i="63"/>
  <c r="O6" i="63"/>
  <c r="O4" i="63"/>
  <c r="O7" i="63"/>
  <c r="N18" i="63"/>
  <c r="O22" i="63"/>
  <c r="J18" i="65"/>
  <c r="J20" i="65"/>
  <c r="I4" i="66"/>
  <c r="I10" i="66"/>
  <c r="J6" i="68"/>
  <c r="I14" i="62"/>
  <c r="B15" i="62"/>
  <c r="B16" i="66"/>
  <c r="I15" i="66"/>
  <c r="J22" i="56"/>
  <c r="D7" i="54"/>
  <c r="D5" i="55"/>
  <c r="J5" i="55" s="1"/>
  <c r="D6" i="55"/>
  <c r="J6" i="55" s="1"/>
  <c r="J23" i="57"/>
  <c r="I3" i="57"/>
  <c r="J13" i="57"/>
  <c r="J12" i="57"/>
  <c r="J15" i="57"/>
  <c r="J23" i="58"/>
  <c r="I3" i="58"/>
  <c r="J13" i="58"/>
  <c r="J8" i="59"/>
  <c r="J18" i="59"/>
  <c r="J14" i="59"/>
  <c r="J7" i="61"/>
  <c r="N5" i="63"/>
  <c r="N12" i="63"/>
  <c r="O16" i="63"/>
  <c r="O21" i="63"/>
  <c r="D16" i="64"/>
  <c r="J16" i="64" s="1"/>
  <c r="I7" i="66"/>
  <c r="I5" i="68"/>
  <c r="I12" i="68"/>
  <c r="B21" i="68"/>
  <c r="I21" i="68" s="1"/>
  <c r="D5" i="59"/>
  <c r="J5" i="59" s="1"/>
  <c r="J5" i="60"/>
  <c r="I7" i="60"/>
  <c r="J10" i="60"/>
  <c r="J11" i="60"/>
  <c r="I19" i="60"/>
  <c r="D8" i="62"/>
  <c r="J8" i="62" s="1"/>
  <c r="D10" i="62"/>
  <c r="J10" i="62" s="1"/>
  <c r="J13" i="62"/>
  <c r="J15" i="62"/>
  <c r="O11" i="63"/>
  <c r="O15" i="63"/>
  <c r="I3" i="64"/>
  <c r="J15" i="65"/>
  <c r="I9" i="66"/>
  <c r="I14" i="66"/>
  <c r="I23" i="67"/>
  <c r="I13" i="67"/>
  <c r="I5" i="67"/>
  <c r="J6" i="67"/>
  <c r="I11" i="67"/>
  <c r="I12" i="67"/>
  <c r="I14" i="67"/>
  <c r="J16" i="67"/>
  <c r="J17" i="67"/>
  <c r="I20" i="67"/>
  <c r="J22" i="67"/>
  <c r="I11" i="68"/>
  <c r="J14" i="60"/>
  <c r="I9" i="62"/>
  <c r="D11" i="62"/>
  <c r="J11" i="62" s="1"/>
  <c r="O23" i="63"/>
  <c r="J21" i="65"/>
  <c r="I7" i="67"/>
  <c r="I8" i="67"/>
  <c r="J10" i="67"/>
  <c r="I17" i="67"/>
  <c r="J10" i="68"/>
  <c r="I23" i="60"/>
  <c r="I21" i="60"/>
  <c r="I15" i="60"/>
  <c r="I13" i="60"/>
  <c r="I11" i="60"/>
  <c r="J13" i="60"/>
  <c r="J16" i="60"/>
  <c r="D9" i="61"/>
  <c r="L3" i="61"/>
  <c r="O10" i="61" s="1"/>
  <c r="D11" i="61"/>
  <c r="D4" i="61"/>
  <c r="O3" i="61"/>
  <c r="D8" i="61"/>
  <c r="J22" i="61"/>
  <c r="D4" i="62"/>
  <c r="J4" i="62" s="1"/>
  <c r="O17" i="63"/>
  <c r="J19" i="65"/>
  <c r="I9" i="67"/>
  <c r="J12" i="67"/>
  <c r="J14" i="67"/>
  <c r="J15" i="67"/>
  <c r="I18" i="67"/>
  <c r="J20" i="67"/>
  <c r="J21" i="67"/>
  <c r="J23" i="67"/>
  <c r="I9" i="68"/>
  <c r="J14" i="68"/>
  <c r="J16" i="68"/>
  <c r="B20" i="68"/>
  <c r="I20" i="68" s="1"/>
  <c r="I3" i="60"/>
  <c r="J12" i="60"/>
  <c r="J23" i="60"/>
  <c r="J23" i="61"/>
  <c r="I3" i="61"/>
  <c r="O18" i="61"/>
  <c r="J18" i="61"/>
  <c r="D7" i="62"/>
  <c r="J7" i="62" s="1"/>
  <c r="I10" i="62"/>
  <c r="I13" i="62"/>
  <c r="J23" i="64"/>
  <c r="J17" i="65"/>
  <c r="I11" i="66"/>
  <c r="I10" i="67"/>
  <c r="I19" i="67"/>
  <c r="I4" i="68"/>
  <c r="I7" i="68"/>
  <c r="J12" i="68"/>
  <c r="D21" i="68"/>
  <c r="J21" i="68" s="1"/>
  <c r="J18" i="68"/>
  <c r="D15" i="68"/>
  <c r="J15" i="68" s="1"/>
  <c r="D17" i="68"/>
  <c r="J17" i="68" s="1"/>
  <c r="D19" i="68"/>
  <c r="J19" i="68" s="1"/>
  <c r="D20" i="68"/>
  <c r="J20" i="68" s="1"/>
  <c r="D22" i="68"/>
  <c r="J22" i="68" s="1"/>
  <c r="I11" i="63"/>
  <c r="N11" i="63" s="1"/>
  <c r="I13" i="63"/>
  <c r="N13" i="63" s="1"/>
  <c r="I19" i="63"/>
  <c r="N19" i="63" s="1"/>
  <c r="D4" i="68"/>
  <c r="J4" i="68" s="1"/>
  <c r="J3" i="67"/>
  <c r="D7" i="67"/>
  <c r="J7" i="67" s="1"/>
  <c r="B16" i="68"/>
  <c r="I16" i="68" s="1"/>
  <c r="B22" i="68"/>
  <c r="I22" i="68" s="1"/>
  <c r="D6" i="65"/>
  <c r="J6" i="65" s="1"/>
  <c r="D8" i="65"/>
  <c r="J8" i="65" s="1"/>
  <c r="D10" i="65"/>
  <c r="J10" i="65" s="1"/>
  <c r="D4" i="67"/>
  <c r="J4" i="67" s="1"/>
  <c r="J3" i="68"/>
  <c r="B14" i="68"/>
  <c r="I14" i="68" s="1"/>
  <c r="O21" i="54" l="1"/>
  <c r="N3" i="54"/>
  <c r="O15" i="54"/>
  <c r="N5" i="54"/>
  <c r="O14" i="61"/>
  <c r="O22" i="54"/>
  <c r="O19" i="54"/>
  <c r="O19" i="61"/>
  <c r="O17" i="61"/>
  <c r="N15" i="63"/>
  <c r="O6" i="61"/>
  <c r="O20" i="61"/>
  <c r="O17" i="54"/>
  <c r="N8" i="54"/>
  <c r="N21" i="54"/>
  <c r="O12" i="63"/>
  <c r="O7" i="61"/>
  <c r="O3" i="54"/>
  <c r="O11" i="54"/>
  <c r="N11" i="54"/>
  <c r="O4" i="54"/>
  <c r="J4" i="54"/>
  <c r="N4" i="54"/>
  <c r="O13" i="63"/>
  <c r="J8" i="61"/>
  <c r="O8" i="61"/>
  <c r="O7" i="54"/>
  <c r="J7" i="54"/>
  <c r="O9" i="61"/>
  <c r="J9" i="61"/>
  <c r="O10" i="60"/>
  <c r="O10" i="58"/>
  <c r="J10" i="58"/>
  <c r="O4" i="58"/>
  <c r="J4" i="58"/>
  <c r="O6" i="54"/>
  <c r="J6" i="54"/>
  <c r="J21" i="59"/>
  <c r="D22" i="59"/>
  <c r="O11" i="56"/>
  <c r="J11" i="56"/>
  <c r="O11" i="58"/>
  <c r="J11" i="58"/>
  <c r="N3" i="60"/>
  <c r="O5" i="60"/>
  <c r="B16" i="62"/>
  <c r="I15" i="62"/>
  <c r="O12" i="56"/>
  <c r="J12" i="56"/>
  <c r="J4" i="61"/>
  <c r="O4" i="61"/>
  <c r="O5" i="58"/>
  <c r="J5" i="58"/>
  <c r="I16" i="66"/>
  <c r="B17" i="66"/>
  <c r="D19" i="62"/>
  <c r="J18" i="62"/>
  <c r="J11" i="61"/>
  <c r="O11" i="61"/>
  <c r="N13" i="60"/>
  <c r="N19" i="60"/>
  <c r="J8" i="58"/>
  <c r="O8" i="58"/>
  <c r="J6" i="58"/>
  <c r="O6" i="58"/>
  <c r="O12" i="54"/>
  <c r="J12" i="54"/>
  <c r="O10" i="56"/>
  <c r="J10" i="56"/>
  <c r="N23" i="60"/>
  <c r="N7" i="60"/>
  <c r="J7" i="58"/>
  <c r="O7" i="58"/>
  <c r="J5" i="54"/>
  <c r="O5" i="54"/>
  <c r="O23" i="61"/>
  <c r="O16" i="61"/>
  <c r="O13" i="61"/>
  <c r="O21" i="61"/>
  <c r="N3" i="61"/>
  <c r="O5" i="61"/>
  <c r="O15" i="61"/>
  <c r="O22" i="61"/>
  <c r="N15" i="60"/>
  <c r="O11" i="60"/>
  <c r="J12" i="58"/>
  <c r="O12" i="58"/>
  <c r="O9" i="54"/>
  <c r="J9" i="54"/>
  <c r="L3" i="60"/>
  <c r="N21" i="60" s="1"/>
  <c r="J9" i="56"/>
  <c r="O9" i="56"/>
  <c r="B217" i="36"/>
  <c r="B216" i="36"/>
  <c r="B215" i="36"/>
  <c r="B214" i="36"/>
  <c r="B213" i="36"/>
  <c r="B212" i="36"/>
  <c r="B211" i="36"/>
  <c r="B210" i="36"/>
  <c r="B206" i="36"/>
  <c r="B205" i="36"/>
  <c r="B204" i="36"/>
  <c r="B203" i="36"/>
  <c r="B202" i="36"/>
  <c r="B201" i="36"/>
  <c r="B200" i="36"/>
  <c r="B199" i="36"/>
  <c r="B198" i="36"/>
  <c r="B197" i="36"/>
  <c r="B196" i="36"/>
  <c r="B195" i="36"/>
  <c r="B194" i="36"/>
  <c r="B193" i="36"/>
  <c r="B192" i="36"/>
  <c r="B190" i="36"/>
  <c r="B191" i="36" s="1"/>
  <c r="B189" i="36"/>
  <c r="B188" i="36"/>
  <c r="B187" i="36"/>
  <c r="B186" i="36"/>
  <c r="B185" i="36"/>
  <c r="B184" i="36"/>
  <c r="B182" i="36"/>
  <c r="B183" i="36" s="1"/>
  <c r="B181" i="36"/>
  <c r="B180" i="36"/>
  <c r="B179" i="36"/>
  <c r="B178" i="36"/>
  <c r="B177" i="36"/>
  <c r="B176" i="36"/>
  <c r="B175" i="36"/>
  <c r="B174" i="36"/>
  <c r="B173" i="36"/>
  <c r="B172" i="36"/>
  <c r="B171" i="36"/>
  <c r="B170" i="36"/>
  <c r="B169" i="36"/>
  <c r="B168" i="36"/>
  <c r="B167" i="36"/>
  <c r="B166" i="36"/>
  <c r="B164" i="36"/>
  <c r="B165" i="36" s="1"/>
  <c r="B163" i="36"/>
  <c r="B162" i="36"/>
  <c r="B160" i="36"/>
  <c r="B161" i="36" s="1"/>
  <c r="B159" i="36"/>
  <c r="B158" i="36"/>
  <c r="B157" i="36"/>
  <c r="B156" i="36"/>
  <c r="B155" i="36"/>
  <c r="B154" i="36"/>
  <c r="B153" i="36"/>
  <c r="O23" i="60" l="1"/>
  <c r="B18" i="66"/>
  <c r="I17" i="66"/>
  <c r="D23" i="59"/>
  <c r="J23" i="59" s="1"/>
  <c r="J22" i="59"/>
  <c r="O12" i="60"/>
  <c r="O16" i="60"/>
  <c r="N12" i="60"/>
  <c r="N5" i="60"/>
  <c r="N9" i="60"/>
  <c r="O6" i="60"/>
  <c r="N18" i="60"/>
  <c r="N14" i="60"/>
  <c r="N16" i="60"/>
  <c r="O19" i="60"/>
  <c r="O7" i="60"/>
  <c r="N6" i="60"/>
  <c r="N4" i="60"/>
  <c r="O3" i="60"/>
  <c r="N8" i="60"/>
  <c r="N20" i="60"/>
  <c r="N17" i="60"/>
  <c r="O15" i="60"/>
  <c r="O9" i="60"/>
  <c r="N22" i="60"/>
  <c r="O20" i="60"/>
  <c r="O21" i="60"/>
  <c r="N10" i="60"/>
  <c r="O18" i="60"/>
  <c r="O4" i="60"/>
  <c r="O17" i="60"/>
  <c r="O8" i="60"/>
  <c r="O22" i="60"/>
  <c r="O14" i="60"/>
  <c r="O13" i="60"/>
  <c r="D20" i="62"/>
  <c r="J19" i="62"/>
  <c r="N11" i="60"/>
  <c r="B17" i="62"/>
  <c r="I16" i="62"/>
  <c r="B151" i="36"/>
  <c r="B152" i="36" s="1"/>
  <c r="B146" i="36"/>
  <c r="B147" i="36"/>
  <c r="B143" i="36"/>
  <c r="B144" i="36"/>
  <c r="B145" i="36"/>
  <c r="B150" i="36"/>
  <c r="B149" i="36"/>
  <c r="B148" i="36"/>
  <c r="B141" i="36"/>
  <c r="B142" i="36" s="1"/>
  <c r="B140" i="36"/>
  <c r="B139" i="36"/>
  <c r="B138" i="36"/>
  <c r="B137" i="36"/>
  <c r="B136" i="36"/>
  <c r="B135" i="36"/>
  <c r="B134" i="36"/>
  <c r="B133" i="36"/>
  <c r="B132" i="36"/>
  <c r="B131" i="36"/>
  <c r="B130" i="36"/>
  <c r="B129" i="36"/>
  <c r="B128" i="36"/>
  <c r="B127" i="36"/>
  <c r="B126" i="36"/>
  <c r="J20" i="62" l="1"/>
  <c r="D21" i="62"/>
  <c r="B18" i="62"/>
  <c r="I17" i="62"/>
  <c r="I18" i="66"/>
  <c r="B19" i="66"/>
  <c r="B123" i="36"/>
  <c r="B122" i="36"/>
  <c r="B125" i="36"/>
  <c r="A125" i="36" s="1"/>
  <c r="B124" i="36"/>
  <c r="A124" i="36" s="1"/>
  <c r="B113" i="36"/>
  <c r="A113" i="36" s="1"/>
  <c r="B121" i="36"/>
  <c r="A121" i="36" s="1"/>
  <c r="B119" i="36"/>
  <c r="B120" i="36" s="1"/>
  <c r="A120" i="36" s="1"/>
  <c r="B117" i="36"/>
  <c r="B118" i="36" s="1"/>
  <c r="A118" i="36" s="1"/>
  <c r="B115" i="36"/>
  <c r="A115" i="36" s="1"/>
  <c r="B114" i="36"/>
  <c r="A114" i="36" s="1"/>
  <c r="B112" i="36"/>
  <c r="A112" i="36" s="1"/>
  <c r="B111" i="36"/>
  <c r="A111" i="36" s="1"/>
  <c r="B109" i="36"/>
  <c r="A108" i="36" s="1"/>
  <c r="B107" i="36"/>
  <c r="A107" i="36" s="1"/>
  <c r="B106" i="36"/>
  <c r="A106" i="36" s="1"/>
  <c r="B105" i="36"/>
  <c r="A105" i="36" s="1"/>
  <c r="B104" i="36"/>
  <c r="A104" i="36" s="1"/>
  <c r="B103" i="36"/>
  <c r="B102" i="36"/>
  <c r="A102" i="36" s="1"/>
  <c r="B99" i="36"/>
  <c r="B101" i="36" s="1"/>
  <c r="B98" i="36"/>
  <c r="A98" i="36" s="1"/>
  <c r="B96" i="36"/>
  <c r="A96" i="36" s="1"/>
  <c r="B97" i="36"/>
  <c r="A97" i="36" s="1"/>
  <c r="B95" i="36"/>
  <c r="A95" i="36" s="1"/>
  <c r="B94" i="36"/>
  <c r="A94" i="36" s="1"/>
  <c r="B93" i="36"/>
  <c r="B91" i="36"/>
  <c r="B92" i="36" s="1"/>
  <c r="B90" i="36"/>
  <c r="A90" i="36" s="1"/>
  <c r="B89" i="36"/>
  <c r="A89" i="36" s="1"/>
  <c r="B88" i="36"/>
  <c r="A88" i="36" s="1"/>
  <c r="B87" i="36"/>
  <c r="A87" i="36" s="1"/>
  <c r="B86" i="36"/>
  <c r="A86" i="36" s="1"/>
  <c r="B83" i="36"/>
  <c r="B85" i="36" s="1"/>
  <c r="B81" i="36"/>
  <c r="A81" i="36" s="1"/>
  <c r="B82" i="36"/>
  <c r="A82" i="36" s="1"/>
  <c r="B80" i="36"/>
  <c r="A80" i="36" s="1"/>
  <c r="B79" i="36"/>
  <c r="A79" i="36" s="1"/>
  <c r="B77" i="36"/>
  <c r="A77" i="36" s="1"/>
  <c r="B75" i="36"/>
  <c r="A75" i="36" s="1"/>
  <c r="B73" i="36"/>
  <c r="B72" i="36"/>
  <c r="A72" i="36" s="1"/>
  <c r="B71" i="36"/>
  <c r="A71" i="36" s="1"/>
  <c r="B70" i="36"/>
  <c r="B69" i="36"/>
  <c r="A69" i="36" s="1"/>
  <c r="B68" i="36"/>
  <c r="A68" i="36" s="1"/>
  <c r="B67" i="36"/>
  <c r="A67" i="36" s="1"/>
  <c r="B66" i="36"/>
  <c r="A66" i="36" s="1"/>
  <c r="B65" i="36"/>
  <c r="A65" i="36" s="1"/>
  <c r="B64" i="36"/>
  <c r="A64" i="36" s="1"/>
  <c r="B63" i="36"/>
  <c r="A63" i="36" s="1"/>
  <c r="B62" i="36"/>
  <c r="A62" i="36" s="1"/>
  <c r="B61" i="36"/>
  <c r="A61" i="36" s="1"/>
  <c r="B60" i="36"/>
  <c r="A60" i="36" s="1"/>
  <c r="B59" i="36"/>
  <c r="A59" i="36" s="1"/>
  <c r="B52" i="36"/>
  <c r="B57" i="36"/>
  <c r="A57" i="36" s="1"/>
  <c r="B54" i="36"/>
  <c r="A54" i="36" s="1"/>
  <c r="B55" i="36"/>
  <c r="A55" i="36" s="1"/>
  <c r="B53" i="36"/>
  <c r="A53" i="36" s="1"/>
  <c r="B58" i="36"/>
  <c r="A58" i="36" s="1"/>
  <c r="B51" i="36"/>
  <c r="A51" i="36" s="1"/>
  <c r="B50" i="36"/>
  <c r="B49" i="36"/>
  <c r="A49" i="36" s="1"/>
  <c r="B48" i="36"/>
  <c r="A48" i="36" s="1"/>
  <c r="B47" i="36"/>
  <c r="A47" i="36" s="1"/>
  <c r="B46" i="36"/>
  <c r="A46" i="36" s="1"/>
  <c r="B45" i="36"/>
  <c r="A45" i="36" s="1"/>
  <c r="B43" i="36"/>
  <c r="A43" i="36" s="1"/>
  <c r="B41" i="36"/>
  <c r="B42" i="36" s="1"/>
  <c r="A42" i="36" s="1"/>
  <c r="B40" i="36"/>
  <c r="A40" i="36" s="1"/>
  <c r="B39" i="36"/>
  <c r="A39" i="36" s="1"/>
  <c r="B37" i="36"/>
  <c r="B36" i="36"/>
  <c r="A36" i="36" s="1"/>
  <c r="B35" i="36"/>
  <c r="A35" i="36" s="1"/>
  <c r="B32" i="36"/>
  <c r="B33" i="36" s="1"/>
  <c r="B31" i="36"/>
  <c r="A31" i="36" s="1"/>
  <c r="B34" i="36"/>
  <c r="A34" i="36" s="1"/>
  <c r="B30" i="36"/>
  <c r="A30" i="36" s="1"/>
  <c r="B29" i="36"/>
  <c r="A29" i="36" s="1"/>
  <c r="B28" i="36"/>
  <c r="A28" i="36" s="1"/>
  <c r="B27" i="36"/>
  <c r="A27" i="36" s="1"/>
  <c r="B26" i="36"/>
  <c r="A26" i="36" s="1"/>
  <c r="B25" i="36"/>
  <c r="A25" i="36" s="1"/>
  <c r="B24" i="36"/>
  <c r="A24" i="36" s="1"/>
  <c r="B23" i="36"/>
  <c r="A23" i="36" s="1"/>
  <c r="A18" i="36"/>
  <c r="A70" i="36"/>
  <c r="A93" i="36"/>
  <c r="A99" i="36"/>
  <c r="A103" i="36"/>
  <c r="A119" i="36"/>
  <c r="A122" i="36"/>
  <c r="A123" i="36"/>
  <c r="A126" i="36"/>
  <c r="A127" i="36"/>
  <c r="A128" i="36"/>
  <c r="A129" i="36"/>
  <c r="A130" i="36"/>
  <c r="A131" i="36"/>
  <c r="A132" i="36"/>
  <c r="A133" i="36"/>
  <c r="A134" i="36"/>
  <c r="A135" i="36"/>
  <c r="A136" i="36"/>
  <c r="A137" i="36"/>
  <c r="A138" i="36"/>
  <c r="A139" i="36"/>
  <c r="A140" i="36"/>
  <c r="A141" i="36"/>
  <c r="A142" i="36"/>
  <c r="A143" i="36"/>
  <c r="A144" i="36"/>
  <c r="A145" i="36"/>
  <c r="A146" i="36"/>
  <c r="A147" i="36"/>
  <c r="A148" i="36"/>
  <c r="A149" i="36"/>
  <c r="A150" i="36"/>
  <c r="A151" i="36"/>
  <c r="A152" i="36"/>
  <c r="A153" i="36"/>
  <c r="A154" i="36"/>
  <c r="A155" i="36"/>
  <c r="A156" i="36"/>
  <c r="A157" i="36"/>
  <c r="A158" i="36"/>
  <c r="A159" i="36"/>
  <c r="A160" i="36"/>
  <c r="A161" i="36"/>
  <c r="A162" i="36"/>
  <c r="A163" i="36"/>
  <c r="A164" i="36"/>
  <c r="A165" i="36"/>
  <c r="A166" i="36"/>
  <c r="A167" i="36"/>
  <c r="A168" i="36"/>
  <c r="A169" i="36"/>
  <c r="A170" i="36"/>
  <c r="A171" i="36"/>
  <c r="A172" i="36"/>
  <c r="A173" i="36"/>
  <c r="A174" i="36"/>
  <c r="A175" i="36"/>
  <c r="A176" i="36"/>
  <c r="A177" i="36"/>
  <c r="A178" i="36"/>
  <c r="A179" i="36"/>
  <c r="A180" i="36"/>
  <c r="A181" i="36"/>
  <c r="A182" i="36"/>
  <c r="A183" i="36"/>
  <c r="A184" i="36"/>
  <c r="A185" i="36"/>
  <c r="A186" i="36"/>
  <c r="A187" i="36"/>
  <c r="A188" i="36"/>
  <c r="A189" i="36"/>
  <c r="A190" i="36"/>
  <c r="A191" i="36"/>
  <c r="A192" i="36"/>
  <c r="A193" i="36"/>
  <c r="A194" i="36"/>
  <c r="A195" i="36"/>
  <c r="A196" i="36"/>
  <c r="A197" i="36"/>
  <c r="A198" i="36"/>
  <c r="A199" i="36"/>
  <c r="A200" i="36"/>
  <c r="A201" i="36"/>
  <c r="A202" i="36"/>
  <c r="A203" i="36"/>
  <c r="A204" i="36"/>
  <c r="A205" i="36"/>
  <c r="A206" i="36"/>
  <c r="A207" i="36"/>
  <c r="A208" i="36"/>
  <c r="A209" i="36"/>
  <c r="A210" i="36"/>
  <c r="A211" i="36"/>
  <c r="A212" i="36"/>
  <c r="A213" i="36"/>
  <c r="A214" i="36"/>
  <c r="A215" i="36"/>
  <c r="A216" i="36"/>
  <c r="A217" i="36"/>
  <c r="B22" i="36"/>
  <c r="A22" i="36" s="1"/>
  <c r="B21" i="36"/>
  <c r="A21" i="36" s="1"/>
  <c r="B20" i="36"/>
  <c r="A20" i="36" s="1"/>
  <c r="B19" i="36"/>
  <c r="A19" i="36" s="1"/>
  <c r="B17" i="36"/>
  <c r="A17" i="36" s="1"/>
  <c r="B16" i="36"/>
  <c r="A16" i="36" s="1"/>
  <c r="B14" i="36"/>
  <c r="B13" i="36"/>
  <c r="A13" i="36" s="1"/>
  <c r="B11" i="36"/>
  <c r="B12" i="36" s="1"/>
  <c r="A12" i="36" s="1"/>
  <c r="B10" i="36"/>
  <c r="A10" i="36" s="1"/>
  <c r="B9" i="36"/>
  <c r="A9" i="36" s="1"/>
  <c r="B8" i="36"/>
  <c r="A8" i="36" s="1"/>
  <c r="B7" i="36"/>
  <c r="A7" i="36" s="1"/>
  <c r="B6" i="36"/>
  <c r="A6" i="36" s="1"/>
  <c r="B5" i="36"/>
  <c r="A5" i="36" s="1"/>
  <c r="B4" i="36"/>
  <c r="A4" i="36" s="1"/>
  <c r="B3" i="36"/>
  <c r="A3" i="36" s="1"/>
  <c r="B20" i="66" l="1"/>
  <c r="I19" i="66"/>
  <c r="B19" i="62"/>
  <c r="I18" i="62"/>
  <c r="J21" i="62"/>
  <c r="D22" i="62"/>
  <c r="A15" i="26"/>
  <c r="A24" i="26"/>
  <c r="A17" i="26"/>
  <c r="A16" i="26"/>
  <c r="A18" i="26"/>
  <c r="A19" i="26"/>
  <c r="A13" i="26"/>
  <c r="A23" i="26"/>
  <c r="A83" i="36"/>
  <c r="B56" i="36"/>
  <c r="A56" i="36" s="1"/>
  <c r="B74" i="36"/>
  <c r="A74" i="36" s="1"/>
  <c r="B78" i="36"/>
  <c r="A78" i="36" s="1"/>
  <c r="B108" i="36"/>
  <c r="B116" i="36"/>
  <c r="A116" i="36" s="1"/>
  <c r="A117" i="36"/>
  <c r="B15" i="36"/>
  <c r="A15" i="36" s="1"/>
  <c r="B84" i="36"/>
  <c r="A84" i="36" s="1"/>
  <c r="B110" i="36"/>
  <c r="A109" i="36" s="1"/>
  <c r="A85" i="36"/>
  <c r="A33" i="36"/>
  <c r="A101" i="36"/>
  <c r="B38" i="36"/>
  <c r="A38" i="36" s="1"/>
  <c r="B76" i="36"/>
  <c r="A76" i="36" s="1"/>
  <c r="A92" i="36"/>
  <c r="B44" i="36"/>
  <c r="A44" i="36" s="1"/>
  <c r="B100" i="36"/>
  <c r="A100" i="36" s="1"/>
  <c r="A73" i="36"/>
  <c r="A91" i="36"/>
  <c r="A52" i="36"/>
  <c r="A41" i="36"/>
  <c r="A37" i="36"/>
  <c r="A50" i="36"/>
  <c r="A32" i="36"/>
  <c r="A11" i="36"/>
  <c r="A29" i="26" s="1"/>
  <c r="A14" i="36"/>
  <c r="S29" i="42"/>
  <c r="R38" i="42"/>
  <c r="N38" i="42" s="1"/>
  <c r="AO38" i="42" s="1"/>
  <c r="R17" i="42"/>
  <c r="N17" i="42" s="1"/>
  <c r="R16" i="42"/>
  <c r="R13" i="42"/>
  <c r="P38" i="42"/>
  <c r="P37" i="42"/>
  <c r="P36" i="42"/>
  <c r="P29" i="42"/>
  <c r="P28" i="42"/>
  <c r="P17" i="42"/>
  <c r="P16" i="42"/>
  <c r="P13" i="42"/>
  <c r="O57" i="42"/>
  <c r="AO57" i="42" s="1"/>
  <c r="O37" i="42"/>
  <c r="N58" i="42"/>
  <c r="N13" i="42"/>
  <c r="AO13" i="42" s="1"/>
  <c r="D43" i="45"/>
  <c r="C38" i="45"/>
  <c r="E43" i="45" s="1"/>
  <c r="C36" i="45"/>
  <c r="C35" i="45"/>
  <c r="J21" i="45"/>
  <c r="I21" i="45"/>
  <c r="H21" i="45"/>
  <c r="G21" i="45"/>
  <c r="F21" i="45"/>
  <c r="L21" i="45" s="1"/>
  <c r="J12" i="45"/>
  <c r="C11" i="45"/>
  <c r="C43" i="45" s="1"/>
  <c r="H89" i="44"/>
  <c r="G89" i="44"/>
  <c r="F89" i="44"/>
  <c r="E89" i="44"/>
  <c r="F80" i="44"/>
  <c r="G80" i="44" s="1"/>
  <c r="E80" i="44"/>
  <c r="D79" i="44"/>
  <c r="D67" i="44"/>
  <c r="D66" i="44"/>
  <c r="D57" i="44"/>
  <c r="C57" i="44"/>
  <c r="C31" i="44"/>
  <c r="C23" i="44"/>
  <c r="C24" i="44" s="1"/>
  <c r="D24" i="44" s="1"/>
  <c r="D12" i="44"/>
  <c r="D11" i="44"/>
  <c r="S28" i="42" s="1"/>
  <c r="O28" i="42" s="1"/>
  <c r="AX28" i="42" s="1"/>
  <c r="G10" i="44"/>
  <c r="E10" i="44"/>
  <c r="E11" i="44" s="1"/>
  <c r="D10" i="44"/>
  <c r="C10" i="44"/>
  <c r="G7" i="44"/>
  <c r="F7" i="44"/>
  <c r="G6" i="44"/>
  <c r="F6" i="44"/>
  <c r="G5" i="44"/>
  <c r="F5" i="44"/>
  <c r="G4" i="44"/>
  <c r="F4" i="44"/>
  <c r="G3" i="44"/>
  <c r="F3" i="44"/>
  <c r="N10" i="42"/>
  <c r="N7" i="42"/>
  <c r="AO7" i="42" s="1"/>
  <c r="AK7" i="42" s="1"/>
  <c r="N5" i="42"/>
  <c r="AO5" i="42" s="1"/>
  <c r="J71" i="42"/>
  <c r="J67" i="42"/>
  <c r="AX17" i="42"/>
  <c r="AW58" i="42"/>
  <c r="AR49" i="42"/>
  <c r="AP81" i="42"/>
  <c r="AP77" i="42"/>
  <c r="AP3" i="42"/>
  <c r="AO78" i="42"/>
  <c r="AO73" i="42"/>
  <c r="AO72" i="42"/>
  <c r="AK72" i="42" s="1"/>
  <c r="AO71" i="42"/>
  <c r="AO69" i="42"/>
  <c r="AO63" i="42"/>
  <c r="AO60" i="42"/>
  <c r="AO59" i="42"/>
  <c r="AK59" i="42" s="1"/>
  <c r="AO58" i="42"/>
  <c r="AO52" i="42"/>
  <c r="AK52" i="42" s="1"/>
  <c r="AO49" i="42"/>
  <c r="AO47" i="42"/>
  <c r="AK47" i="42" s="1"/>
  <c r="AO46" i="42"/>
  <c r="AK46" i="42" s="1"/>
  <c r="AO44" i="42"/>
  <c r="AO40" i="42"/>
  <c r="AO32" i="42"/>
  <c r="AO31" i="42"/>
  <c r="AO29" i="42"/>
  <c r="AK29" i="42" s="1"/>
  <c r="AO28" i="42"/>
  <c r="AK28" i="42" s="1"/>
  <c r="AO26" i="42"/>
  <c r="AK26" i="42" s="1"/>
  <c r="AO22" i="42"/>
  <c r="AO15" i="42"/>
  <c r="AK15" i="42" s="1"/>
  <c r="AO11" i="42"/>
  <c r="AO10" i="42"/>
  <c r="AK10" i="42" s="1"/>
  <c r="AO8" i="42"/>
  <c r="AO6" i="42"/>
  <c r="AN78" i="42"/>
  <c r="AN73" i="42"/>
  <c r="AN72" i="42"/>
  <c r="AN71" i="42"/>
  <c r="AN69" i="42"/>
  <c r="AN63" i="42"/>
  <c r="AJ63" i="42" s="1"/>
  <c r="AN61" i="42"/>
  <c r="AN60" i="42"/>
  <c r="AN59" i="42"/>
  <c r="AN58" i="42"/>
  <c r="AN52" i="42"/>
  <c r="AN49" i="42"/>
  <c r="AN46" i="42"/>
  <c r="AJ46" i="42" s="1"/>
  <c r="AN44" i="42"/>
  <c r="AN40" i="42"/>
  <c r="AN32" i="42"/>
  <c r="AN31" i="42"/>
  <c r="AJ31" i="42" s="1"/>
  <c r="AN29" i="42"/>
  <c r="AJ29" i="42" s="1"/>
  <c r="AN28" i="42"/>
  <c r="AJ28" i="42" s="1"/>
  <c r="AN26" i="42"/>
  <c r="AN22" i="42"/>
  <c r="AJ22" i="42" s="1"/>
  <c r="AN15" i="42"/>
  <c r="AN11" i="42"/>
  <c r="AJ11" i="42" s="1"/>
  <c r="AN10" i="42"/>
  <c r="AJ10" i="42" s="1"/>
  <c r="AN8" i="42"/>
  <c r="AJ8" i="42" s="1"/>
  <c r="AN7" i="42"/>
  <c r="AJ7" i="42" s="1"/>
  <c r="AN6" i="42"/>
  <c r="AL81" i="42"/>
  <c r="AL80" i="42"/>
  <c r="AL78" i="42"/>
  <c r="AL77" i="42"/>
  <c r="AL76" i="42"/>
  <c r="AL75" i="42"/>
  <c r="AL74" i="42"/>
  <c r="AL73" i="42"/>
  <c r="AL72" i="42"/>
  <c r="AL71" i="42"/>
  <c r="AL70" i="42"/>
  <c r="AL69" i="42"/>
  <c r="AL68" i="42"/>
  <c r="AL67" i="42"/>
  <c r="AL66" i="42"/>
  <c r="AL65" i="42"/>
  <c r="AL64" i="42"/>
  <c r="AL63" i="42"/>
  <c r="AL62" i="42"/>
  <c r="AL61" i="42"/>
  <c r="AL60" i="42"/>
  <c r="AL59" i="42"/>
  <c r="AL58" i="42"/>
  <c r="AL57" i="42"/>
  <c r="AL56" i="42"/>
  <c r="AL55" i="42"/>
  <c r="AL54" i="42"/>
  <c r="AL53" i="42"/>
  <c r="AL52" i="42"/>
  <c r="AL51" i="42"/>
  <c r="AL50" i="42"/>
  <c r="AL49" i="42"/>
  <c r="AL48" i="42"/>
  <c r="AL47" i="42"/>
  <c r="AL46" i="42"/>
  <c r="AL45" i="42"/>
  <c r="AL44" i="42"/>
  <c r="AL43" i="42"/>
  <c r="AL42" i="42"/>
  <c r="AL40" i="42"/>
  <c r="AL38" i="42"/>
  <c r="AL33" i="42"/>
  <c r="AL32" i="42"/>
  <c r="AL31" i="42"/>
  <c r="AL30" i="42"/>
  <c r="AL29" i="42"/>
  <c r="AL28" i="42"/>
  <c r="AL27" i="42"/>
  <c r="AL26" i="42"/>
  <c r="AL25" i="42"/>
  <c r="AL24" i="42"/>
  <c r="AL23" i="42"/>
  <c r="AL22" i="42"/>
  <c r="AL21" i="42"/>
  <c r="AL20" i="42"/>
  <c r="AL19" i="42"/>
  <c r="AL17" i="42"/>
  <c r="AL16" i="42"/>
  <c r="AL15" i="42"/>
  <c r="AL14" i="42"/>
  <c r="AL13" i="42"/>
  <c r="AL12" i="42"/>
  <c r="AL11" i="42"/>
  <c r="AL10" i="42"/>
  <c r="AL9" i="42"/>
  <c r="AL8" i="42"/>
  <c r="AL7" i="42"/>
  <c r="AL6" i="42"/>
  <c r="AL5" i="42"/>
  <c r="AL4" i="42"/>
  <c r="AL3" i="42"/>
  <c r="AK81" i="42"/>
  <c r="AK78" i="42"/>
  <c r="AK44" i="42"/>
  <c r="AK32" i="42"/>
  <c r="AK31" i="42"/>
  <c r="AK11" i="42"/>
  <c r="AK8" i="42"/>
  <c r="AK6" i="42"/>
  <c r="AK3" i="42"/>
  <c r="AJ81" i="42"/>
  <c r="AJ78" i="42"/>
  <c r="AJ60" i="42"/>
  <c r="AJ59" i="42"/>
  <c r="AJ52" i="42"/>
  <c r="AJ44" i="42"/>
  <c r="AJ40" i="42"/>
  <c r="AJ32" i="42"/>
  <c r="AJ26" i="42"/>
  <c r="AJ15" i="42"/>
  <c r="AJ6" i="42"/>
  <c r="AJ3" i="42"/>
  <c r="AI54" i="42"/>
  <c r="X80" i="42"/>
  <c r="X75" i="42"/>
  <c r="X71" i="42"/>
  <c r="X65" i="42"/>
  <c r="AK65" i="42" s="1"/>
  <c r="X55" i="42"/>
  <c r="X42" i="42"/>
  <c r="X25" i="42"/>
  <c r="X24" i="42"/>
  <c r="X19" i="42"/>
  <c r="X18" i="42"/>
  <c r="N80" i="42"/>
  <c r="N68" i="42"/>
  <c r="N45" i="42"/>
  <c r="N39" i="42"/>
  <c r="N23" i="42"/>
  <c r="N21" i="42"/>
  <c r="N20" i="42"/>
  <c r="N18" i="42"/>
  <c r="AL18" i="42" s="1"/>
  <c r="N9" i="42"/>
  <c r="R4" i="42"/>
  <c r="N4" i="42" s="1"/>
  <c r="O49" i="42"/>
  <c r="AX49" i="42" s="1"/>
  <c r="AW49" i="42" s="1"/>
  <c r="O29" i="42"/>
  <c r="AX29" i="42" s="1"/>
  <c r="O27" i="42"/>
  <c r="O14" i="42"/>
  <c r="O12" i="42"/>
  <c r="O5" i="42"/>
  <c r="AX5" i="42" s="1"/>
  <c r="N79" i="42"/>
  <c r="N76" i="42"/>
  <c r="AO76" i="42" s="1"/>
  <c r="N75" i="42"/>
  <c r="AO75" i="42" s="1"/>
  <c r="AK75" i="42" s="1"/>
  <c r="N74" i="42"/>
  <c r="AO74" i="42" s="1"/>
  <c r="N70" i="42"/>
  <c r="AO70" i="42" s="1"/>
  <c r="N66" i="42"/>
  <c r="AO66" i="42" s="1"/>
  <c r="N64" i="42"/>
  <c r="AN64" i="42" s="1"/>
  <c r="N62" i="42"/>
  <c r="AO62" i="42" s="1"/>
  <c r="AK62" i="42" s="1"/>
  <c r="N61" i="42"/>
  <c r="AO61" i="42" s="1"/>
  <c r="N54" i="42"/>
  <c r="AO54" i="42" s="1"/>
  <c r="N51" i="42"/>
  <c r="AN51" i="42" s="1"/>
  <c r="AJ51" i="42" s="1"/>
  <c r="N50" i="42"/>
  <c r="AO50" i="42" s="1"/>
  <c r="N48" i="42"/>
  <c r="AO48" i="42" s="1"/>
  <c r="N47" i="42"/>
  <c r="AN47" i="42" s="1"/>
  <c r="AJ47" i="42" s="1"/>
  <c r="N43" i="42"/>
  <c r="AO43" i="42" s="1"/>
  <c r="AK43" i="42" s="1"/>
  <c r="N42" i="42"/>
  <c r="AO42" i="42" s="1"/>
  <c r="N41" i="42"/>
  <c r="N33" i="42"/>
  <c r="AI33" i="42" s="1"/>
  <c r="N30" i="42"/>
  <c r="AO30" i="42" s="1"/>
  <c r="AK30" i="42" s="1"/>
  <c r="N27" i="42"/>
  <c r="AW27" i="42" s="1"/>
  <c r="N25" i="42"/>
  <c r="AO25" i="42" s="1"/>
  <c r="AK25" i="42" s="1"/>
  <c r="N24" i="42"/>
  <c r="AO24" i="42" s="1"/>
  <c r="AK24" i="42" s="1"/>
  <c r="N19" i="42"/>
  <c r="AO19" i="42" s="1"/>
  <c r="AK19" i="42" s="1"/>
  <c r="N16" i="42"/>
  <c r="AW16" i="42" s="1"/>
  <c r="N14" i="42"/>
  <c r="AN14" i="42" s="1"/>
  <c r="N12" i="42"/>
  <c r="AO12" i="42" s="1"/>
  <c r="AE81" i="42"/>
  <c r="X79" i="42"/>
  <c r="AW77" i="42"/>
  <c r="AX77" i="42" s="1"/>
  <c r="AQ77" i="42"/>
  <c r="AE77" i="42"/>
  <c r="X76" i="42"/>
  <c r="X74" i="42"/>
  <c r="AE73" i="42"/>
  <c r="AE72" i="42"/>
  <c r="AJ72" i="42"/>
  <c r="X70" i="42"/>
  <c r="AE69" i="42"/>
  <c r="X69" i="42"/>
  <c r="X68" i="42"/>
  <c r="AE67" i="42"/>
  <c r="N67" i="42"/>
  <c r="AN67" i="42" s="1"/>
  <c r="X66" i="42"/>
  <c r="AN65" i="42"/>
  <c r="AE64" i="42"/>
  <c r="AE63" i="42"/>
  <c r="AE62" i="42"/>
  <c r="AE61" i="42"/>
  <c r="X60" i="42"/>
  <c r="AQ58" i="42"/>
  <c r="AE58" i="42"/>
  <c r="AE57" i="42"/>
  <c r="AE56" i="42"/>
  <c r="AO55" i="42"/>
  <c r="AK55" i="42" s="1"/>
  <c r="AE54" i="42"/>
  <c r="C87" i="41"/>
  <c r="AE53" i="42"/>
  <c r="AN53" i="42"/>
  <c r="AE51" i="42"/>
  <c r="AE50" i="42"/>
  <c r="X48" i="42"/>
  <c r="AE47" i="42"/>
  <c r="AE46" i="42"/>
  <c r="AE45" i="42"/>
  <c r="AE43" i="42"/>
  <c r="AE42" i="42"/>
  <c r="X41" i="42"/>
  <c r="X40" i="42"/>
  <c r="X39" i="42"/>
  <c r="AE38" i="42"/>
  <c r="AE37" i="42"/>
  <c r="AE35" i="42"/>
  <c r="AN35" i="42"/>
  <c r="AJ35" i="42" s="1"/>
  <c r="AK34" i="42"/>
  <c r="AJ34" i="42"/>
  <c r="AE34" i="42"/>
  <c r="AE33" i="42"/>
  <c r="AE30" i="42"/>
  <c r="AE28" i="42"/>
  <c r="AE27" i="42"/>
  <c r="AE25" i="42"/>
  <c r="X23" i="42"/>
  <c r="X22" i="42"/>
  <c r="AE21" i="42"/>
  <c r="X20" i="42"/>
  <c r="AE19" i="42"/>
  <c r="AE18" i="42"/>
  <c r="AE17" i="42"/>
  <c r="AE16" i="42"/>
  <c r="AQ14" i="42"/>
  <c r="AE14" i="42"/>
  <c r="AE13" i="42"/>
  <c r="AR12" i="42"/>
  <c r="AE12" i="42"/>
  <c r="AE10" i="42"/>
  <c r="X9" i="42"/>
  <c r="AE7" i="42"/>
  <c r="AE6" i="42"/>
  <c r="AE5" i="42"/>
  <c r="X4" i="42"/>
  <c r="AN54" i="42" l="1"/>
  <c r="AX12" i="42"/>
  <c r="F10" i="44"/>
  <c r="AI43" i="42"/>
  <c r="AO67" i="42"/>
  <c r="AN74" i="42"/>
  <c r="AN62" i="42"/>
  <c r="AJ62" i="42" s="1"/>
  <c r="C11" i="44"/>
  <c r="C12" i="44" s="1"/>
  <c r="AN5" i="42"/>
  <c r="O36" i="42"/>
  <c r="AK71" i="42"/>
  <c r="D23" i="62"/>
  <c r="J23" i="62" s="1"/>
  <c r="J22" i="62"/>
  <c r="B20" i="62"/>
  <c r="I19" i="62"/>
  <c r="I20" i="66"/>
  <c r="B21" i="66"/>
  <c r="K21" i="45"/>
  <c r="D36" i="45"/>
  <c r="F36" i="45" s="1"/>
  <c r="I36" i="45" s="1"/>
  <c r="E36" i="45"/>
  <c r="G36" i="45" s="1"/>
  <c r="J36" i="45" s="1"/>
  <c r="C37" i="45"/>
  <c r="F37" i="45" s="1"/>
  <c r="I37" i="45" s="1"/>
  <c r="A172" i="26"/>
  <c r="A210" i="26"/>
  <c r="A55" i="26"/>
  <c r="A88" i="26"/>
  <c r="A63" i="26"/>
  <c r="A166" i="26"/>
  <c r="A95" i="26"/>
  <c r="A100" i="26"/>
  <c r="A43" i="26"/>
  <c r="A207" i="26"/>
  <c r="A173" i="26"/>
  <c r="A208" i="26"/>
  <c r="A89" i="26"/>
  <c r="A48" i="26"/>
  <c r="A165" i="26"/>
  <c r="A163" i="26"/>
  <c r="A200" i="26"/>
  <c r="A60" i="26"/>
  <c r="A73" i="26"/>
  <c r="A42" i="26"/>
  <c r="A41" i="26"/>
  <c r="A155" i="26"/>
  <c r="A99" i="26"/>
  <c r="A36" i="26"/>
  <c r="A154" i="26"/>
  <c r="A201" i="26"/>
  <c r="A168" i="26"/>
  <c r="A87" i="26"/>
  <c r="A61" i="26"/>
  <c r="A70" i="26"/>
  <c r="A68" i="26"/>
  <c r="A66" i="26"/>
  <c r="A62" i="26"/>
  <c r="A56" i="26"/>
  <c r="A71" i="26"/>
  <c r="A157" i="26"/>
  <c r="A94" i="26"/>
  <c r="A53" i="26"/>
  <c r="A58" i="26"/>
  <c r="A206" i="26"/>
  <c r="A47" i="26"/>
  <c r="A57" i="26"/>
  <c r="A205" i="26"/>
  <c r="A161" i="26"/>
  <c r="A153" i="26"/>
  <c r="A54" i="26"/>
  <c r="A216" i="26"/>
  <c r="A72" i="26"/>
  <c r="A158" i="26"/>
  <c r="A93" i="26"/>
  <c r="A52" i="26"/>
  <c r="A110" i="36"/>
  <c r="A268" i="26" s="1"/>
  <c r="AJ69" i="42"/>
  <c r="AK69" i="42"/>
  <c r="AL79" i="42"/>
  <c r="AO41" i="42"/>
  <c r="AK41" i="42" s="1"/>
  <c r="AK70" i="42"/>
  <c r="X33" i="42"/>
  <c r="X67" i="42"/>
  <c r="AJ67" i="42" s="1"/>
  <c r="AO36" i="42"/>
  <c r="AN48" i="42"/>
  <c r="AJ48" i="42" s="1"/>
  <c r="AO35" i="42"/>
  <c r="AK35" i="42" s="1"/>
  <c r="F101" i="41"/>
  <c r="AK42" i="42"/>
  <c r="AK74" i="42"/>
  <c r="X21" i="42"/>
  <c r="X50" i="42"/>
  <c r="AK50" i="42" s="1"/>
  <c r="X61" i="42"/>
  <c r="AJ61" i="42" s="1"/>
  <c r="AO53" i="42"/>
  <c r="AK48" i="42"/>
  <c r="X53" i="42"/>
  <c r="AJ53" i="42" s="1"/>
  <c r="X63" i="42"/>
  <c r="AK76" i="42"/>
  <c r="X54" i="42"/>
  <c r="AJ54" i="42" s="1"/>
  <c r="X64" i="42"/>
  <c r="AJ64" i="42" s="1"/>
  <c r="AK66" i="42"/>
  <c r="X45" i="42"/>
  <c r="X56" i="42"/>
  <c r="X73" i="42"/>
  <c r="AJ73" i="42" s="1"/>
  <c r="AJ74" i="42"/>
  <c r="AK73" i="42"/>
  <c r="N57" i="42"/>
  <c r="AO16" i="42"/>
  <c r="AW13" i="42"/>
  <c r="AX13" i="42" s="1"/>
  <c r="AN13" i="42"/>
  <c r="C44" i="45"/>
  <c r="D38" i="45"/>
  <c r="E38" i="45"/>
  <c r="G38" i="45" s="1"/>
  <c r="J38" i="45" s="1"/>
  <c r="AO17" i="42"/>
  <c r="AN17" i="42"/>
  <c r="AN57" i="42"/>
  <c r="AX57" i="42"/>
  <c r="AO37" i="42"/>
  <c r="AN16" i="42"/>
  <c r="F24" i="44"/>
  <c r="E24" i="44"/>
  <c r="F11" i="44"/>
  <c r="E12" i="44"/>
  <c r="G11" i="44"/>
  <c r="D23" i="44"/>
  <c r="AX27" i="42"/>
  <c r="AW28" i="42"/>
  <c r="AO21" i="42"/>
  <c r="AK21" i="42" s="1"/>
  <c r="AN21" i="42"/>
  <c r="AJ21" i="42" s="1"/>
  <c r="AW12" i="42"/>
  <c r="AX16" i="42"/>
  <c r="AO4" i="42"/>
  <c r="AK4" i="42" s="1"/>
  <c r="AI4" i="42"/>
  <c r="AN4" i="42"/>
  <c r="AJ4" i="42" s="1"/>
  <c r="AN20" i="42"/>
  <c r="AJ20" i="42" s="1"/>
  <c r="AO20" i="42"/>
  <c r="AK20" i="42" s="1"/>
  <c r="AN39" i="42"/>
  <c r="AJ39" i="42" s="1"/>
  <c r="AL39" i="42"/>
  <c r="AO39" i="42"/>
  <c r="AK39" i="42" s="1"/>
  <c r="AN45" i="42"/>
  <c r="AJ45" i="42" s="1"/>
  <c r="AO45" i="42"/>
  <c r="AK45" i="42" s="1"/>
  <c r="AO80" i="42"/>
  <c r="AK80" i="42" s="1"/>
  <c r="AN80" i="42"/>
  <c r="AJ80" i="42" s="1"/>
  <c r="AO9" i="42"/>
  <c r="AK9" i="42" s="1"/>
  <c r="AN9" i="42"/>
  <c r="AJ9" i="42" s="1"/>
  <c r="AO68" i="42"/>
  <c r="AK68" i="42" s="1"/>
  <c r="AN68" i="42"/>
  <c r="AJ68" i="42" s="1"/>
  <c r="AW5" i="42"/>
  <c r="C91" i="41"/>
  <c r="H91" i="41" s="1"/>
  <c r="AO23" i="42"/>
  <c r="AK23" i="42" s="1"/>
  <c r="AN23" i="42"/>
  <c r="AJ23" i="42" s="1"/>
  <c r="AI38" i="42"/>
  <c r="AJ65" i="42"/>
  <c r="AJ71" i="42"/>
  <c r="AN27" i="42"/>
  <c r="AN33" i="42"/>
  <c r="AJ33" i="42" s="1"/>
  <c r="AN66" i="42"/>
  <c r="AJ66" i="42" s="1"/>
  <c r="AN79" i="42"/>
  <c r="AJ79" i="42" s="1"/>
  <c r="AO14" i="42"/>
  <c r="AO51" i="42"/>
  <c r="AK51" i="42" s="1"/>
  <c r="AO64" i="42"/>
  <c r="AK64" i="42" s="1"/>
  <c r="AW38" i="42"/>
  <c r="C76" i="41" s="1"/>
  <c r="H76" i="41" s="1"/>
  <c r="AN41" i="42"/>
  <c r="AJ41" i="42" s="1"/>
  <c r="AO27" i="42"/>
  <c r="AO33" i="42"/>
  <c r="AK33" i="42" s="1"/>
  <c r="AO79" i="42"/>
  <c r="AK79" i="42" s="1"/>
  <c r="AN36" i="42"/>
  <c r="AN42" i="42"/>
  <c r="AJ42" i="42" s="1"/>
  <c r="AW14" i="42"/>
  <c r="AI19" i="42"/>
  <c r="AI62" i="42"/>
  <c r="AN12" i="42"/>
  <c r="AN18" i="42"/>
  <c r="AJ18" i="42" s="1"/>
  <c r="AN24" i="42"/>
  <c r="AJ24" i="42" s="1"/>
  <c r="AN30" i="42"/>
  <c r="AJ30" i="42" s="1"/>
  <c r="AN37" i="42"/>
  <c r="AN43" i="42"/>
  <c r="AJ43" i="42" s="1"/>
  <c r="AN75" i="42"/>
  <c r="AJ75" i="42" s="1"/>
  <c r="AX58" i="42"/>
  <c r="AI25" i="42"/>
  <c r="AI75" i="42"/>
  <c r="AN19" i="42"/>
  <c r="AJ19" i="42" s="1"/>
  <c r="AN25" i="42"/>
  <c r="AJ25" i="42" s="1"/>
  <c r="AN38" i="42"/>
  <c r="AN50" i="42"/>
  <c r="AJ50" i="42" s="1"/>
  <c r="AN70" i="42"/>
  <c r="AJ70" i="42" s="1"/>
  <c r="AN76" i="42"/>
  <c r="AJ76" i="42" s="1"/>
  <c r="AO18" i="42"/>
  <c r="AK18" i="42" s="1"/>
  <c r="C9" i="41"/>
  <c r="H9" i="41" s="1"/>
  <c r="C15" i="41"/>
  <c r="H15" i="41" s="1"/>
  <c r="C40" i="41"/>
  <c r="H40" i="41" s="1"/>
  <c r="C58" i="41"/>
  <c r="H58" i="41" s="1"/>
  <c r="C70" i="41"/>
  <c r="C90" i="41"/>
  <c r="H90" i="41" s="1"/>
  <c r="F3" i="41"/>
  <c r="F9" i="41"/>
  <c r="F15" i="41"/>
  <c r="F21" i="41"/>
  <c r="F27" i="41"/>
  <c r="F33" i="41"/>
  <c r="F40" i="41"/>
  <c r="F46" i="41"/>
  <c r="F52" i="41"/>
  <c r="F58" i="41"/>
  <c r="F64" i="41"/>
  <c r="F70" i="41"/>
  <c r="F77" i="41"/>
  <c r="F83" i="41"/>
  <c r="F90" i="41"/>
  <c r="F96" i="41"/>
  <c r="AE23" i="42"/>
  <c r="AE71" i="42"/>
  <c r="C78" i="41"/>
  <c r="H78" i="41" s="1"/>
  <c r="F4" i="41"/>
  <c r="F10" i="41"/>
  <c r="F16" i="41"/>
  <c r="F22" i="41"/>
  <c r="F28" i="41"/>
  <c r="F34" i="41"/>
  <c r="F41" i="41"/>
  <c r="F47" i="41"/>
  <c r="F53" i="41"/>
  <c r="F59" i="41"/>
  <c r="F65" i="41"/>
  <c r="F72" i="41"/>
  <c r="F78" i="41"/>
  <c r="F84" i="41"/>
  <c r="F91" i="41"/>
  <c r="F97" i="41"/>
  <c r="C23" i="41"/>
  <c r="H23" i="41" s="1"/>
  <c r="C42" i="41"/>
  <c r="H42" i="41" s="1"/>
  <c r="C48" i="41"/>
  <c r="H48" i="41" s="1"/>
  <c r="C73" i="41"/>
  <c r="H73" i="41" s="1"/>
  <c r="C92" i="41"/>
  <c r="H92" i="41" s="1"/>
  <c r="F5" i="41"/>
  <c r="F11" i="41"/>
  <c r="F17" i="41"/>
  <c r="F23" i="41"/>
  <c r="F29" i="41"/>
  <c r="F35" i="41"/>
  <c r="F42" i="41"/>
  <c r="F48" i="41"/>
  <c r="F54" i="41"/>
  <c r="F60" i="41"/>
  <c r="F66" i="41"/>
  <c r="F73" i="41"/>
  <c r="F79" i="41"/>
  <c r="F85" i="41"/>
  <c r="F92" i="41"/>
  <c r="F98" i="41"/>
  <c r="C12" i="41"/>
  <c r="H12" i="41" s="1"/>
  <c r="F6" i="41"/>
  <c r="F12" i="41"/>
  <c r="F18" i="41"/>
  <c r="F24" i="41"/>
  <c r="F30" i="41"/>
  <c r="F36" i="41"/>
  <c r="F43" i="41"/>
  <c r="F49" i="41"/>
  <c r="F55" i="41"/>
  <c r="F61" i="41"/>
  <c r="F67" i="41"/>
  <c r="F74" i="41"/>
  <c r="F80" i="41"/>
  <c r="F86" i="41"/>
  <c r="F93" i="41"/>
  <c r="F99" i="41"/>
  <c r="C7" i="41"/>
  <c r="H7" i="41" s="1"/>
  <c r="C25" i="41"/>
  <c r="H25" i="41" s="1"/>
  <c r="C56" i="41"/>
  <c r="H56" i="41" s="1"/>
  <c r="C75" i="41"/>
  <c r="H75" i="41" s="1"/>
  <c r="C81" i="41"/>
  <c r="H81" i="41" s="1"/>
  <c r="C94" i="41"/>
  <c r="H94" i="41" s="1"/>
  <c r="F7" i="41"/>
  <c r="F13" i="41"/>
  <c r="F19" i="41"/>
  <c r="F25" i="41"/>
  <c r="F31" i="41"/>
  <c r="F37" i="41"/>
  <c r="F44" i="41"/>
  <c r="F50" i="41"/>
  <c r="F56" i="41"/>
  <c r="F62" i="41"/>
  <c r="F68" i="41"/>
  <c r="F75" i="41"/>
  <c r="F81" i="41"/>
  <c r="F87" i="41"/>
  <c r="F94" i="41"/>
  <c r="F100" i="41"/>
  <c r="C45" i="41"/>
  <c r="H45" i="41" s="1"/>
  <c r="C82" i="41"/>
  <c r="H82" i="41" s="1"/>
  <c r="C95" i="41"/>
  <c r="H95" i="41" s="1"/>
  <c r="F8" i="41"/>
  <c r="F14" i="41"/>
  <c r="F20" i="41"/>
  <c r="F26" i="41"/>
  <c r="F32" i="41"/>
  <c r="F39" i="41"/>
  <c r="F45" i="41"/>
  <c r="F51" i="41"/>
  <c r="F57" i="41"/>
  <c r="F63" i="41"/>
  <c r="F69" i="41"/>
  <c r="F76" i="41"/>
  <c r="F82" i="41"/>
  <c r="F89" i="41"/>
  <c r="F95" i="41"/>
  <c r="AE66" i="42"/>
  <c r="AE68" i="42"/>
  <c r="AE20" i="42"/>
  <c r="AE55" i="42"/>
  <c r="AE41" i="42"/>
  <c r="AE8" i="42"/>
  <c r="AE31" i="42"/>
  <c r="AE36" i="42"/>
  <c r="AE40" i="42"/>
  <c r="AE48" i="42"/>
  <c r="AE49" i="42"/>
  <c r="AE65" i="42"/>
  <c r="AE74" i="42"/>
  <c r="AE75" i="42"/>
  <c r="AE76" i="42"/>
  <c r="AE79" i="42"/>
  <c r="C97" i="41"/>
  <c r="H97" i="41" s="1"/>
  <c r="AF82" i="42"/>
  <c r="AH82" i="42" s="1"/>
  <c r="AE24" i="42"/>
  <c r="AE29" i="42"/>
  <c r="AE78" i="42"/>
  <c r="C74" i="41"/>
  <c r="H74" i="41" s="1"/>
  <c r="C79" i="41"/>
  <c r="H79" i="41" s="1"/>
  <c r="C80" i="41"/>
  <c r="H80" i="41" s="1"/>
  <c r="C68" i="41"/>
  <c r="H68" i="41" s="1"/>
  <c r="C83" i="41"/>
  <c r="H83" i="41" s="1"/>
  <c r="AE60" i="42"/>
  <c r="AE70" i="42"/>
  <c r="AE4" i="42"/>
  <c r="C77" i="41"/>
  <c r="H77" i="41" s="1"/>
  <c r="AE9" i="42"/>
  <c r="AE22" i="42"/>
  <c r="AE80" i="42"/>
  <c r="AE39" i="42"/>
  <c r="C98" i="41"/>
  <c r="H98" i="41" s="1"/>
  <c r="C99" i="41"/>
  <c r="H99" i="41" s="1"/>
  <c r="C69" i="41"/>
  <c r="H69" i="41" s="1"/>
  <c r="AK61" i="42" l="1"/>
  <c r="S38" i="42"/>
  <c r="O38" i="42" s="1"/>
  <c r="AK67" i="42"/>
  <c r="I20" i="62"/>
  <c r="B21" i="62"/>
  <c r="B22" i="66"/>
  <c r="I21" i="66"/>
  <c r="C39" i="45"/>
  <c r="A244" i="26"/>
  <c r="A272" i="26"/>
  <c r="A276" i="26"/>
  <c r="A228" i="26"/>
  <c r="A227" i="26"/>
  <c r="A247" i="26"/>
  <c r="A346" i="26"/>
  <c r="A110" i="26"/>
  <c r="A332" i="26"/>
  <c r="A279" i="26"/>
  <c r="A40" i="26"/>
  <c r="A335" i="26"/>
  <c r="A22" i="26"/>
  <c r="A387" i="26"/>
  <c r="A144" i="26"/>
  <c r="A457" i="26"/>
  <c r="A235" i="26"/>
  <c r="A14" i="26"/>
  <c r="A259" i="26"/>
  <c r="A237" i="26"/>
  <c r="A344" i="26"/>
  <c r="A238" i="26"/>
  <c r="A306" i="26"/>
  <c r="A293" i="26"/>
  <c r="A431" i="26"/>
  <c r="A295" i="26"/>
  <c r="A190" i="26"/>
  <c r="A331" i="26"/>
  <c r="A217" i="26"/>
  <c r="A418" i="26"/>
  <c r="A132" i="26"/>
  <c r="A445" i="26"/>
  <c r="A167" i="26"/>
  <c r="A51" i="26"/>
  <c r="A421" i="26"/>
  <c r="A378" i="26"/>
  <c r="A233" i="26"/>
  <c r="A352" i="26"/>
  <c r="A454" i="26"/>
  <c r="A411" i="26"/>
  <c r="A149" i="26"/>
  <c r="A395" i="26"/>
  <c r="A250" i="26"/>
  <c r="A125" i="26"/>
  <c r="A432" i="26"/>
  <c r="A264" i="26"/>
  <c r="A416" i="26"/>
  <c r="A126" i="26"/>
  <c r="A362" i="26"/>
  <c r="A148" i="26"/>
  <c r="A455" i="26"/>
  <c r="A442" i="26"/>
  <c r="A141" i="26"/>
  <c r="A191" i="26"/>
  <c r="A213" i="26"/>
  <c r="A175" i="26"/>
  <c r="A365" i="26"/>
  <c r="A221" i="26"/>
  <c r="A185" i="26"/>
  <c r="A232" i="26"/>
  <c r="A338" i="26"/>
  <c r="A251" i="26"/>
  <c r="A209" i="26"/>
  <c r="A363" i="26"/>
  <c r="A134" i="26"/>
  <c r="A169" i="26"/>
  <c r="A258" i="26"/>
  <c r="A128" i="26"/>
  <c r="A302" i="26"/>
  <c r="A351" i="26"/>
  <c r="A59" i="26"/>
  <c r="A382" i="26"/>
  <c r="A127" i="26"/>
  <c r="A428" i="26"/>
  <c r="A354" i="26"/>
  <c r="A375" i="26"/>
  <c r="A135" i="26"/>
  <c r="A96" i="26"/>
  <c r="A84" i="26"/>
  <c r="A367" i="26"/>
  <c r="A300" i="26"/>
  <c r="A304" i="26"/>
  <c r="A204" i="26"/>
  <c r="A449" i="26"/>
  <c r="A435" i="26"/>
  <c r="A140" i="26"/>
  <c r="A356" i="26"/>
  <c r="A439" i="26"/>
  <c r="A430" i="26"/>
  <c r="A443" i="26"/>
  <c r="A288" i="26"/>
  <c r="A107" i="26"/>
  <c r="A105" i="26"/>
  <c r="A409" i="26"/>
  <c r="A265" i="26"/>
  <c r="A261" i="26"/>
  <c r="A389" i="26"/>
  <c r="A420" i="26"/>
  <c r="A236" i="26"/>
  <c r="A249" i="26"/>
  <c r="A353" i="26"/>
  <c r="A160" i="26"/>
  <c r="A394" i="26"/>
  <c r="A456" i="26"/>
  <c r="A159" i="26"/>
  <c r="A179" i="26"/>
  <c r="A212" i="26"/>
  <c r="A283" i="26"/>
  <c r="A109" i="26"/>
  <c r="A396" i="26"/>
  <c r="A123" i="26"/>
  <c r="A64" i="26"/>
  <c r="A239" i="26"/>
  <c r="A294" i="26"/>
  <c r="A224" i="26"/>
  <c r="A26" i="26"/>
  <c r="A194" i="26"/>
  <c r="A336" i="26"/>
  <c r="A12" i="26"/>
  <c r="A358" i="26"/>
  <c r="A39" i="26"/>
  <c r="A408" i="26"/>
  <c r="A339" i="26"/>
  <c r="A98" i="26"/>
  <c r="A318" i="26"/>
  <c r="A368" i="26"/>
  <c r="A458" i="26"/>
  <c r="A311" i="26"/>
  <c r="A183" i="26"/>
  <c r="A301" i="26"/>
  <c r="A33" i="26"/>
  <c r="A124" i="26"/>
  <c r="A177" i="26"/>
  <c r="A386" i="26"/>
  <c r="A308" i="26"/>
  <c r="A76" i="26"/>
  <c r="A219" i="26"/>
  <c r="A373" i="26"/>
  <c r="A329" i="26"/>
  <c r="A193" i="26"/>
  <c r="A269" i="26"/>
  <c r="A203" i="26"/>
  <c r="A97" i="26"/>
  <c r="A171" i="26"/>
  <c r="A298" i="26"/>
  <c r="A452" i="26"/>
  <c r="A440" i="26"/>
  <c r="A290" i="26"/>
  <c r="A286" i="26"/>
  <c r="A32" i="26"/>
  <c r="A156" i="26"/>
  <c r="A184" i="26"/>
  <c r="A229" i="26"/>
  <c r="A447" i="26"/>
  <c r="A417" i="26"/>
  <c r="A114" i="26"/>
  <c r="A427" i="26"/>
  <c r="A426" i="26"/>
  <c r="A374" i="26"/>
  <c r="A20" i="26"/>
  <c r="A119" i="26"/>
  <c r="A260" i="26"/>
  <c r="A104" i="26"/>
  <c r="A357" i="26"/>
  <c r="A65" i="26"/>
  <c r="A388" i="26"/>
  <c r="A133" i="26"/>
  <c r="A434" i="26"/>
  <c r="A360" i="26"/>
  <c r="A147" i="26"/>
  <c r="A448" i="26"/>
  <c r="A164" i="26"/>
  <c r="A263" i="26"/>
  <c r="A202" i="26"/>
  <c r="A246" i="26"/>
  <c r="A152" i="26"/>
  <c r="A192" i="26"/>
  <c r="A349" i="26"/>
  <c r="A83" i="26"/>
  <c r="A400" i="26"/>
  <c r="A145" i="26"/>
  <c r="A446" i="26"/>
  <c r="A321" i="26"/>
  <c r="A74" i="26"/>
  <c r="A404" i="26"/>
  <c r="A176" i="26"/>
  <c r="A225" i="26"/>
  <c r="A406" i="26"/>
  <c r="A120" i="26"/>
  <c r="A433" i="26"/>
  <c r="A307" i="26"/>
  <c r="A162" i="26"/>
  <c r="A343" i="26"/>
  <c r="A297" i="26"/>
  <c r="A381" i="26"/>
  <c r="A310" i="26"/>
  <c r="A419" i="26"/>
  <c r="A436" i="26"/>
  <c r="A333" i="26"/>
  <c r="A198" i="26"/>
  <c r="A334" i="26"/>
  <c r="A220" i="26"/>
  <c r="A199" i="26"/>
  <c r="A75" i="26"/>
  <c r="A262" i="26"/>
  <c r="A391" i="26"/>
  <c r="A254" i="26"/>
  <c r="A79" i="26"/>
  <c r="A299" i="26"/>
  <c r="A240" i="26"/>
  <c r="A340" i="26"/>
  <c r="A323" i="26"/>
  <c r="A273" i="26"/>
  <c r="A248" i="26"/>
  <c r="A350" i="26"/>
  <c r="A327" i="26"/>
  <c r="A146" i="26"/>
  <c r="A122" i="26"/>
  <c r="A319" i="26"/>
  <c r="A366" i="26"/>
  <c r="A230" i="26"/>
  <c r="A197" i="26"/>
  <c r="A234" i="26"/>
  <c r="A189" i="26"/>
  <c r="A138" i="26"/>
  <c r="A111" i="26"/>
  <c r="A341" i="26"/>
  <c r="A215" i="26"/>
  <c r="A393" i="26"/>
  <c r="A407" i="26"/>
  <c r="A30" i="26"/>
  <c r="A364" i="26"/>
  <c r="A45" i="26"/>
  <c r="A414" i="26"/>
  <c r="A345" i="26"/>
  <c r="A27" i="26"/>
  <c r="A385" i="26"/>
  <c r="A118" i="26"/>
  <c r="A113" i="26"/>
  <c r="A211" i="26"/>
  <c r="A226" i="26"/>
  <c r="A46" i="26"/>
  <c r="A289" i="26"/>
  <c r="A278" i="26"/>
  <c r="A325" i="26"/>
  <c r="A31" i="26"/>
  <c r="A383" i="26"/>
  <c r="A292" i="26"/>
  <c r="A10" i="26"/>
  <c r="A397" i="26"/>
  <c r="A130" i="26"/>
  <c r="A131" i="26"/>
  <c r="A218" i="26"/>
  <c r="A399" i="26"/>
  <c r="A92" i="26"/>
  <c r="A413" i="26"/>
  <c r="A270" i="26"/>
  <c r="A67" i="26"/>
  <c r="A314" i="26"/>
  <c r="A266" i="26"/>
  <c r="A326" i="26"/>
  <c r="A121" i="26"/>
  <c r="A371" i="26"/>
  <c r="A330" i="26"/>
  <c r="A35" i="26"/>
  <c r="A112" i="26"/>
  <c r="A136" i="26"/>
  <c r="A337" i="26"/>
  <c r="A410" i="26"/>
  <c r="A392" i="26"/>
  <c r="A188" i="26"/>
  <c r="A287" i="26"/>
  <c r="A320" i="26"/>
  <c r="A415" i="26"/>
  <c r="A274" i="26"/>
  <c r="A195" i="26"/>
  <c r="A355" i="26"/>
  <c r="A405" i="26"/>
  <c r="A245" i="26"/>
  <c r="A285" i="26"/>
  <c r="A80" i="26"/>
  <c r="A372" i="26"/>
  <c r="A214" i="26"/>
  <c r="A309" i="26"/>
  <c r="A101" i="26"/>
  <c r="A390" i="26"/>
  <c r="A25" i="26"/>
  <c r="A142" i="26"/>
  <c r="A275" i="26"/>
  <c r="A28" i="26"/>
  <c r="A444" i="26"/>
  <c r="A37" i="26"/>
  <c r="A77" i="26"/>
  <c r="A256" i="26"/>
  <c r="A403" i="26"/>
  <c r="A451" i="26"/>
  <c r="A384" i="26"/>
  <c r="A243" i="26"/>
  <c r="A143" i="26"/>
  <c r="A342" i="26"/>
  <c r="A313" i="26"/>
  <c r="A174" i="26"/>
  <c r="A284" i="26"/>
  <c r="A303" i="26"/>
  <c r="A377" i="26"/>
  <c r="A282" i="26"/>
  <c r="A423" i="26"/>
  <c r="A361" i="26"/>
  <c r="A90" i="26"/>
  <c r="A450" i="26"/>
  <c r="A108" i="26"/>
  <c r="A11" i="26"/>
  <c r="A252" i="26"/>
  <c r="A116" i="26"/>
  <c r="A296" i="26"/>
  <c r="A315" i="26"/>
  <c r="A359" i="26"/>
  <c r="A255" i="26"/>
  <c r="A398" i="26"/>
  <c r="A322" i="26"/>
  <c r="A86" i="26"/>
  <c r="A324" i="26"/>
  <c r="A38" i="26"/>
  <c r="A376" i="26"/>
  <c r="A438" i="26"/>
  <c r="A178" i="26"/>
  <c r="A91" i="26"/>
  <c r="A277" i="26"/>
  <c r="A180" i="26"/>
  <c r="A441" i="26"/>
  <c r="A196" i="26"/>
  <c r="A82" i="26"/>
  <c r="A305" i="26"/>
  <c r="A44" i="26"/>
  <c r="A257" i="26"/>
  <c r="A69" i="26"/>
  <c r="A137" i="26"/>
  <c r="A291" i="26"/>
  <c r="A328" i="26"/>
  <c r="A312" i="26"/>
  <c r="A81" i="26"/>
  <c r="A170" i="26"/>
  <c r="A267" i="26"/>
  <c r="A412" i="26"/>
  <c r="A181" i="26"/>
  <c r="A182" i="26"/>
  <c r="A106" i="26"/>
  <c r="A422" i="26"/>
  <c r="A21" i="26"/>
  <c r="A437" i="26"/>
  <c r="A115" i="26"/>
  <c r="A129" i="26"/>
  <c r="A429" i="26"/>
  <c r="A78" i="26"/>
  <c r="A139" i="26"/>
  <c r="A117" i="26"/>
  <c r="A453" i="26"/>
  <c r="A253" i="26"/>
  <c r="A271" i="26"/>
  <c r="AP41" i="42"/>
  <c r="AL41" i="42" s="1"/>
  <c r="AJ56" i="42"/>
  <c r="AK56" i="42"/>
  <c r="AK54" i="42"/>
  <c r="AK53" i="42"/>
  <c r="D39" i="45"/>
  <c r="F39" i="45" s="1"/>
  <c r="I39" i="45" s="1"/>
  <c r="D35" i="45"/>
  <c r="E45" i="45"/>
  <c r="F38" i="45"/>
  <c r="I38" i="45" s="1"/>
  <c r="C45" i="45"/>
  <c r="F23" i="44"/>
  <c r="E23" i="44"/>
  <c r="G12" i="44"/>
  <c r="F12" i="44"/>
  <c r="AX14" i="42"/>
  <c r="C72" i="41"/>
  <c r="H72" i="41" s="1"/>
  <c r="C89" i="41"/>
  <c r="H89" i="41" s="1"/>
  <c r="C101" i="41"/>
  <c r="H101" i="41" s="1"/>
  <c r="C84" i="41"/>
  <c r="H84" i="41" s="1"/>
  <c r="C96" i="41"/>
  <c r="H96" i="41" s="1"/>
  <c r="C100" i="41"/>
  <c r="H100" i="41" s="1"/>
  <c r="C86" i="41"/>
  <c r="H86" i="41" s="1"/>
  <c r="C85" i="41"/>
  <c r="H85" i="41" s="1"/>
  <c r="AO82" i="42"/>
  <c r="AN82" i="42"/>
  <c r="I22" i="66" l="1"/>
  <c r="B23" i="66"/>
  <c r="I23" i="66" s="1"/>
  <c r="B22" i="62"/>
  <c r="I21" i="62"/>
  <c r="F35" i="45"/>
  <c r="I35" i="45" s="1"/>
  <c r="E35" i="45"/>
  <c r="AO83" i="42"/>
  <c r="B23" i="62" l="1"/>
  <c r="I23" i="62" s="1"/>
  <c r="I22" i="62"/>
  <c r="G35" i="45"/>
  <c r="J35" i="45" s="1"/>
  <c r="E37" i="45"/>
  <c r="G37" i="45" l="1"/>
  <c r="AQ38" i="42" s="1"/>
  <c r="AX38" i="42" s="1"/>
  <c r="C93" i="41" s="1"/>
  <c r="H93" i="41" s="1"/>
  <c r="E39" i="45"/>
  <c r="G39" i="45" s="1"/>
  <c r="J39" i="45" s="1"/>
  <c r="D26" i="45" l="1"/>
  <c r="E44" i="45"/>
  <c r="D44" i="45" s="1"/>
  <c r="D45" i="45" s="1"/>
  <c r="J37" i="45"/>
  <c r="E137" i="36" l="1"/>
  <c r="D17" i="31" l="1"/>
  <c r="D15" i="31"/>
  <c r="D12" i="31"/>
  <c r="D10" i="31"/>
  <c r="E82" i="36" l="1"/>
  <c r="E81" i="36"/>
  <c r="E39" i="36" l="1"/>
  <c r="AC13" i="42" l="1"/>
  <c r="AC77" i="42"/>
  <c r="AD37" i="42"/>
  <c r="AC14" i="42"/>
  <c r="AC16" i="42"/>
  <c r="AC37" i="42"/>
  <c r="AD5" i="42"/>
  <c r="AD27" i="42"/>
  <c r="AD49" i="42"/>
  <c r="AC38" i="42"/>
  <c r="AD12" i="42"/>
  <c r="AD28" i="42"/>
  <c r="AD57" i="42"/>
  <c r="AC49" i="42"/>
  <c r="AD13" i="42"/>
  <c r="AD29" i="42"/>
  <c r="AD58" i="42"/>
  <c r="O58" i="42" s="1"/>
  <c r="AC5" i="42"/>
  <c r="AC27" i="42"/>
  <c r="AC12" i="42"/>
  <c r="AC28" i="42"/>
  <c r="AC58" i="42"/>
  <c r="AD14" i="42"/>
  <c r="AD36" i="42"/>
  <c r="AD77" i="42"/>
  <c r="AC17" i="42"/>
  <c r="AC29" i="42"/>
  <c r="AD16" i="42"/>
  <c r="AD81" i="42"/>
  <c r="AC36" i="42"/>
  <c r="AC81" i="42"/>
  <c r="AD17" i="42"/>
  <c r="AD38" i="42"/>
  <c r="AC57" i="42"/>
  <c r="F13" i="40"/>
  <c r="E13" i="40" s="1"/>
  <c r="F6" i="40"/>
  <c r="E6" i="40" s="1"/>
  <c r="F82" i="40"/>
  <c r="E82" i="40" s="1"/>
  <c r="F59" i="40"/>
  <c r="E59" i="40" s="1"/>
  <c r="F15" i="40"/>
  <c r="E15" i="40" s="1"/>
  <c r="F14" i="40"/>
  <c r="E14" i="40" s="1"/>
  <c r="F30" i="40"/>
  <c r="E30" i="40" s="1"/>
  <c r="F29" i="40"/>
  <c r="E29" i="40" s="1"/>
  <c r="F28" i="40"/>
  <c r="E28" i="40" s="1"/>
  <c r="F58" i="40"/>
  <c r="E58" i="40" s="1"/>
  <c r="F50" i="40"/>
  <c r="E50" i="40" s="1"/>
  <c r="F39" i="40"/>
  <c r="E39" i="40" s="1"/>
  <c r="F38" i="40"/>
  <c r="E38" i="40" s="1"/>
  <c r="D59" i="40"/>
  <c r="C59" i="40" s="1"/>
  <c r="D58" i="40"/>
  <c r="C58" i="40" s="1"/>
  <c r="D50" i="40"/>
  <c r="C50" i="40" s="1"/>
  <c r="D39" i="40"/>
  <c r="C39" i="40" s="1"/>
  <c r="D38" i="40"/>
  <c r="C38" i="40" s="1"/>
  <c r="D37" i="40"/>
  <c r="C37" i="40" s="1"/>
  <c r="D14" i="40"/>
  <c r="C14" i="40" s="1"/>
  <c r="D13" i="40"/>
  <c r="C13" i="40" s="1"/>
  <c r="D6" i="40"/>
  <c r="C6" i="40" s="1"/>
  <c r="F18" i="40"/>
  <c r="E18" i="40" s="1"/>
  <c r="F17" i="40"/>
  <c r="E17" i="40" s="1"/>
  <c r="D30" i="40"/>
  <c r="C30" i="40" s="1"/>
  <c r="D29" i="40"/>
  <c r="C29" i="40" s="1"/>
  <c r="D28" i="40"/>
  <c r="C28" i="40" s="1"/>
  <c r="D82" i="40"/>
  <c r="C82" i="40" s="1"/>
  <c r="F37" i="40"/>
  <c r="E37" i="40" s="1"/>
  <c r="D15" i="40"/>
  <c r="C15" i="40" s="1"/>
  <c r="D78" i="40"/>
  <c r="C78" i="40" s="1"/>
  <c r="F78" i="40"/>
  <c r="E78" i="40" s="1"/>
  <c r="D18" i="40"/>
  <c r="C18" i="40" s="1"/>
  <c r="D17" i="40"/>
  <c r="C17" i="40" s="1"/>
  <c r="X17" i="42" l="1"/>
  <c r="W77" i="42"/>
  <c r="W28" i="42"/>
  <c r="W13" i="42"/>
  <c r="W58" i="42"/>
  <c r="X28" i="42"/>
  <c r="X58" i="42"/>
  <c r="X81" i="42"/>
  <c r="X5" i="42"/>
  <c r="W36" i="42"/>
  <c r="X37" i="42"/>
  <c r="X16" i="42"/>
  <c r="X38" i="42"/>
  <c r="W16" i="42"/>
  <c r="W38" i="42"/>
  <c r="W17" i="42"/>
  <c r="W81" i="42"/>
  <c r="W5" i="42"/>
  <c r="W49" i="42"/>
  <c r="X57" i="42"/>
  <c r="X13" i="42"/>
  <c r="X12" i="42"/>
  <c r="W29" i="42"/>
  <c r="X29" i="42"/>
  <c r="W14" i="42"/>
  <c r="W37" i="42"/>
  <c r="X36" i="42"/>
  <c r="X49" i="42"/>
  <c r="X77" i="42"/>
  <c r="W27" i="42"/>
  <c r="W12" i="42"/>
  <c r="W57" i="42"/>
  <c r="X27" i="42"/>
  <c r="X14" i="42"/>
  <c r="AJ49" i="42" l="1"/>
  <c r="AV49" i="42"/>
  <c r="AK49" i="42"/>
  <c r="AU49" i="42"/>
  <c r="C14" i="41" s="1"/>
  <c r="H14" i="41" s="1"/>
  <c r="AS17" i="42"/>
  <c r="C37" i="41" s="1"/>
  <c r="H37" i="41" s="1"/>
  <c r="AT17" i="42"/>
  <c r="AK36" i="42"/>
  <c r="AL36" i="42"/>
  <c r="AJ36" i="42"/>
  <c r="AS27" i="42"/>
  <c r="C36" i="41" s="1"/>
  <c r="H36" i="41" s="1"/>
  <c r="AT27" i="42"/>
  <c r="C53" i="41" s="1"/>
  <c r="H53" i="41" s="1"/>
  <c r="C28" i="41"/>
  <c r="H28" i="41" s="1"/>
  <c r="AV29" i="42"/>
  <c r="AT5" i="42"/>
  <c r="AS5" i="42"/>
  <c r="AU16" i="42"/>
  <c r="C3" i="41" s="1"/>
  <c r="H3" i="41" s="1"/>
  <c r="AJ16" i="42"/>
  <c r="AV16" i="42"/>
  <c r="AK16" i="42"/>
  <c r="AV28" i="42"/>
  <c r="AU28" i="42"/>
  <c r="C11" i="41" s="1"/>
  <c r="H11" i="41" s="1"/>
  <c r="C61" i="41"/>
  <c r="H61" i="41" s="1"/>
  <c r="AT29" i="42"/>
  <c r="AS58" i="42"/>
  <c r="AT58" i="42"/>
  <c r="AU27" i="42"/>
  <c r="AK27" i="42"/>
  <c r="AV27" i="42"/>
  <c r="AJ27" i="42"/>
  <c r="AS38" i="42"/>
  <c r="AT38" i="42"/>
  <c r="AT57" i="42"/>
  <c r="C64" i="41" s="1"/>
  <c r="H64" i="41" s="1"/>
  <c r="AS16" i="42"/>
  <c r="AT16" i="42"/>
  <c r="AT77" i="42"/>
  <c r="AS77" i="42"/>
  <c r="AJ77" i="42"/>
  <c r="AV77" i="42"/>
  <c r="AU77" i="42"/>
  <c r="C16" i="41" s="1"/>
  <c r="H16" i="41" s="1"/>
  <c r="AK77" i="42"/>
  <c r="AL37" i="42"/>
  <c r="AK37" i="42"/>
  <c r="AJ37" i="42"/>
  <c r="AJ14" i="42"/>
  <c r="AK14" i="42"/>
  <c r="AU14" i="42"/>
  <c r="C18" i="41" s="1"/>
  <c r="H18" i="41" s="1"/>
  <c r="AV14" i="42"/>
  <c r="AV12" i="42"/>
  <c r="AK12" i="42"/>
  <c r="AJ12" i="42"/>
  <c r="AU12" i="42"/>
  <c r="C6" i="41" s="1"/>
  <c r="H6" i="41" s="1"/>
  <c r="AS13" i="42"/>
  <c r="C46" i="41" s="1"/>
  <c r="H46" i="41" s="1"/>
  <c r="AT13" i="42"/>
  <c r="AV13" i="42"/>
  <c r="AK13" i="42"/>
  <c r="AU13" i="42"/>
  <c r="C13" i="41" s="1"/>
  <c r="H13" i="41" s="1"/>
  <c r="AJ13" i="42"/>
  <c r="AJ5" i="42"/>
  <c r="AV5" i="42"/>
  <c r="AK5" i="42"/>
  <c r="AU5" i="42"/>
  <c r="AT28" i="42"/>
  <c r="C60" i="41" s="1"/>
  <c r="H60" i="41" s="1"/>
  <c r="AS28" i="42"/>
  <c r="C44" i="41" s="1"/>
  <c r="H44" i="41" s="1"/>
  <c r="AK57" i="42"/>
  <c r="AJ57" i="42"/>
  <c r="AV57" i="42"/>
  <c r="AT12" i="42"/>
  <c r="AS12" i="42"/>
  <c r="C39" i="41" s="1"/>
  <c r="H39" i="41" s="1"/>
  <c r="AS14" i="42"/>
  <c r="C51" i="41" s="1"/>
  <c r="H51" i="41" s="1"/>
  <c r="AT14" i="42"/>
  <c r="AT49" i="42"/>
  <c r="AS49" i="42"/>
  <c r="AK38" i="42"/>
  <c r="AU38" i="42"/>
  <c r="AJ38" i="42"/>
  <c r="AV38" i="42"/>
  <c r="C26" i="41" s="1"/>
  <c r="H26" i="41" s="1"/>
  <c r="AK58" i="42"/>
  <c r="AJ58" i="42"/>
  <c r="AU58" i="42"/>
  <c r="AV58" i="42"/>
  <c r="C33" i="41" s="1"/>
  <c r="H33" i="41" s="1"/>
  <c r="AV17" i="42"/>
  <c r="C21" i="41" s="1"/>
  <c r="H21" i="41" s="1"/>
  <c r="AU17" i="42"/>
  <c r="C5" i="41" s="1"/>
  <c r="H5" i="41" s="1"/>
  <c r="AK17" i="42"/>
  <c r="AJ17" i="42"/>
  <c r="C32" i="41"/>
  <c r="H32" i="41" s="1"/>
  <c r="C4" i="41"/>
  <c r="H4" i="41" s="1"/>
  <c r="C20" i="41"/>
  <c r="H20" i="41" s="1"/>
  <c r="C29" i="41"/>
  <c r="H29" i="41" s="1"/>
  <c r="C57" i="41"/>
  <c r="H57" i="41" s="1"/>
  <c r="C41" i="41"/>
  <c r="H41" i="41" s="1"/>
  <c r="C43" i="41"/>
  <c r="H43" i="41" s="1"/>
  <c r="C59" i="41"/>
  <c r="H59" i="41" s="1"/>
  <c r="C19" i="41"/>
  <c r="H19" i="41" s="1"/>
  <c r="C24" i="41"/>
  <c r="H24" i="41" s="1"/>
  <c r="C8" i="41"/>
  <c r="H8" i="41" s="1"/>
  <c r="C27" i="41"/>
  <c r="H27" i="41" s="1"/>
  <c r="C35" i="41"/>
  <c r="H35" i="41" s="1"/>
  <c r="C52" i="41"/>
  <c r="H52" i="41" s="1"/>
  <c r="C50" i="41"/>
  <c r="H50" i="41" s="1"/>
  <c r="C66" i="41"/>
  <c r="H66" i="41" s="1"/>
  <c r="C55" i="41"/>
  <c r="H55" i="41" s="1"/>
  <c r="C63" i="41"/>
  <c r="H63" i="41" s="1"/>
  <c r="C47" i="41"/>
  <c r="H47" i="41" s="1"/>
  <c r="C62" i="41"/>
  <c r="H62" i="41" s="1"/>
  <c r="C31" i="41"/>
  <c r="H31" i="41" s="1"/>
  <c r="C49" i="41"/>
  <c r="H49" i="41" s="1"/>
  <c r="C65" i="41"/>
  <c r="H65" i="41" s="1"/>
  <c r="C34" i="41"/>
  <c r="H34" i="41" s="1"/>
  <c r="C30" i="41"/>
  <c r="H30" i="41" s="1"/>
  <c r="C67" i="41"/>
  <c r="H67" i="41" s="1"/>
  <c r="C22" i="41"/>
  <c r="H22" i="41" s="1"/>
  <c r="C54" i="41"/>
  <c r="H54" i="41" s="1"/>
  <c r="C10" i="41"/>
  <c r="H10" i="41" s="1"/>
  <c r="C17" i="41"/>
  <c r="H17" i="41" s="1"/>
  <c r="D4" i="31" l="1"/>
  <c r="K24" i="31"/>
  <c r="K23" i="31"/>
  <c r="K22" i="31"/>
  <c r="H22" i="31"/>
  <c r="H21" i="31"/>
  <c r="H31" i="31"/>
  <c r="F42" i="31"/>
  <c r="L52" i="31"/>
  <c r="L53" i="31"/>
  <c r="L54" i="31"/>
  <c r="D38" i="31"/>
  <c r="H38" i="31" s="1"/>
  <c r="D37" i="31"/>
  <c r="H37" i="31" s="1"/>
  <c r="D39" i="31"/>
  <c r="H32" i="31"/>
  <c r="D5" i="31"/>
  <c r="V22" i="31"/>
  <c r="V23" i="31"/>
  <c r="D27" i="31"/>
  <c r="H27" i="31" s="1"/>
  <c r="H24" i="31"/>
  <c r="H23" i="31"/>
  <c r="D7" i="31"/>
  <c r="D6" i="31"/>
  <c r="H6" i="31" s="1"/>
  <c r="B33" i="31"/>
  <c r="H33" i="31" s="1"/>
  <c r="V13" i="31"/>
  <c r="V10" i="31"/>
  <c r="G64" i="26"/>
  <c r="H4" i="31" l="1"/>
  <c r="O17" i="31"/>
  <c r="Q17" i="31" s="1"/>
  <c r="O15" i="31"/>
  <c r="Q15" i="31" s="1"/>
  <c r="H17" i="31"/>
  <c r="H15" i="31"/>
  <c r="O10" i="31"/>
  <c r="Q10" i="31" s="1"/>
  <c r="O12" i="31"/>
  <c r="Q12" i="31" s="1"/>
  <c r="D87" i="31"/>
  <c r="H87" i="31" s="1"/>
  <c r="H12" i="31"/>
  <c r="D86" i="31"/>
  <c r="H86" i="31" s="1"/>
  <c r="M24" i="31"/>
  <c r="D90" i="31"/>
  <c r="H90" i="31" s="1"/>
  <c r="D89" i="31"/>
  <c r="H89" i="31" s="1"/>
  <c r="K5" i="31"/>
  <c r="M23" i="31"/>
  <c r="K39" i="31"/>
  <c r="H39" i="31"/>
  <c r="M39" i="31" s="1"/>
  <c r="V16" i="31"/>
  <c r="P2" i="31" s="1"/>
  <c r="H10" i="31"/>
  <c r="K6" i="31"/>
  <c r="M38" i="31"/>
  <c r="M22" i="31"/>
  <c r="H5" i="31"/>
  <c r="M5" i="31" s="1"/>
  <c r="M6" i="31"/>
  <c r="K38" i="31"/>
  <c r="K7" i="31"/>
  <c r="H7" i="31"/>
  <c r="M7" i="31" s="1"/>
  <c r="M33" i="31"/>
  <c r="F4" i="31" l="1"/>
  <c r="P12" i="31"/>
  <c r="F17" i="31"/>
  <c r="P10" i="31"/>
  <c r="P17" i="31"/>
  <c r="F15" i="31"/>
  <c r="P15" i="31"/>
  <c r="F24" i="31"/>
  <c r="F10" i="31"/>
  <c r="F87" i="31"/>
  <c r="F86" i="31"/>
  <c r="D53" i="31"/>
  <c r="B53" i="31" s="1"/>
  <c r="F12" i="31"/>
  <c r="D48" i="31"/>
  <c r="H48" i="31" s="1"/>
  <c r="F6" i="31"/>
  <c r="F39" i="31"/>
  <c r="F21" i="31"/>
  <c r="B21" i="31" s="1"/>
  <c r="O7" i="31"/>
  <c r="F5" i="31"/>
  <c r="Q7" i="31"/>
  <c r="D51" i="31"/>
  <c r="B51" i="31" s="1"/>
  <c r="F23" i="31"/>
  <c r="D49" i="31"/>
  <c r="B49" i="31" s="1"/>
  <c r="D44" i="31"/>
  <c r="F44" i="31" s="1"/>
  <c r="L44" i="31" s="1"/>
  <c r="F37" i="31"/>
  <c r="F38" i="31"/>
  <c r="D54" i="31"/>
  <c r="B54" i="31" s="1"/>
  <c r="F22" i="31"/>
  <c r="B22" i="31" s="1"/>
  <c r="F7" i="31"/>
  <c r="D43" i="31"/>
  <c r="H43" i="31" s="1"/>
  <c r="D52" i="31"/>
  <c r="B52" i="31" s="1"/>
  <c r="D42" i="31"/>
  <c r="H42" i="31" s="1"/>
  <c r="K11" i="31"/>
  <c r="M11" i="31"/>
  <c r="L33" i="31"/>
  <c r="K33" i="31"/>
  <c r="M17" i="31"/>
  <c r="K17" i="31"/>
  <c r="H53" i="31" l="1"/>
  <c r="B48" i="31"/>
  <c r="L5" i="31"/>
  <c r="L7" i="31"/>
  <c r="L23" i="31"/>
  <c r="L39" i="31"/>
  <c r="L24" i="31"/>
  <c r="L6" i="31"/>
  <c r="H44" i="31"/>
  <c r="M44" i="31" s="1"/>
  <c r="L22" i="31"/>
  <c r="K53" i="31"/>
  <c r="H51" i="31"/>
  <c r="H54" i="31"/>
  <c r="F43" i="31"/>
  <c r="L43" i="31" s="1"/>
  <c r="K54" i="31"/>
  <c r="L38" i="31"/>
  <c r="M43" i="31"/>
  <c r="K43" i="31"/>
  <c r="H52" i="31"/>
  <c r="K52" i="31"/>
  <c r="K44" i="31"/>
  <c r="H49" i="31"/>
  <c r="M54" i="31" l="1"/>
  <c r="M52" i="31"/>
  <c r="M53"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P2" authorId="0" shapeId="0" xr:uid="{00000000-0006-0000-0800-000001000000}">
      <text>
        <r>
          <rPr>
            <sz val="8"/>
            <color indexed="81"/>
            <rFont val="Tahoma"/>
            <family val="2"/>
          </rPr>
          <t>This is CO2-intensity used in ICCT Roadmap (ICCT, 2012)
In fact sheets on countries from 2015, CO2-intensity is around 2.1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2" authorId="0" shapeId="0" xr:uid="{00000000-0006-0000-0900-000001000000}">
      <text>
        <r>
          <rPr>
            <sz val="8"/>
            <color indexed="81"/>
            <rFont val="Tahoma"/>
            <family val="2"/>
          </rPr>
          <t>https://ec.europa.eu/jrc/en/publication/eur-scientific-and-technical-research-reports/quantifying-contribution-land-use-sector-paris-climate-agreement</t>
        </r>
      </text>
    </comment>
    <comment ref="AS2" authorId="0" shapeId="0" xr:uid="{00000000-0006-0000-0900-000002000000}">
      <text>
        <r>
          <rPr>
            <b/>
            <sz val="9"/>
            <color indexed="81"/>
            <rFont val="Tahoma"/>
            <family val="2"/>
          </rPr>
          <t>Author:</t>
        </r>
        <r>
          <rPr>
            <sz val="9"/>
            <color indexed="81"/>
            <rFont val="Tahoma"/>
            <family val="2"/>
          </rPr>
          <t xml:space="preserve">
Expressed as emissions in target year as a fraction of emissions in 2005/2010</t>
        </r>
      </text>
    </comment>
    <comment ref="AR12" authorId="0" shapeId="0" xr:uid="{00000000-0006-0000-0900-000003000000}">
      <text>
        <r>
          <rPr>
            <sz val="8"/>
            <color indexed="81"/>
            <rFont val="Tahoma"/>
            <family val="2"/>
          </rPr>
          <t>0.2 GtCO2e in 2005 and -0.05 GtCO2e LULUCF contribution to INDC in 2030 (Grassi, Detener, 2015)</t>
        </r>
      </text>
    </comment>
    <comment ref="AQ14" authorId="0" shapeId="0" xr:uid="{00000000-0006-0000-0900-000004000000}">
      <text>
        <r>
          <rPr>
            <sz val="8"/>
            <color indexed="81"/>
            <rFont val="Tahoma"/>
            <family val="2"/>
          </rPr>
          <t>The 2025 net sink will likely remain close to or lower than the 2005 levels (with large uncertainties) (Grassi, Detener, 2015)</t>
        </r>
      </text>
    </comment>
    <comment ref="AQ17" authorId="0" shapeId="0" xr:uid="{00000000-0006-0000-0900-000005000000}">
      <text>
        <r>
          <rPr>
            <sz val="8"/>
            <color indexed="81"/>
            <rFont val="Tahoma"/>
            <family val="2"/>
          </rPr>
          <t>LULUCF emissions will likely further decrease close to zero in 2030 (Grassi, Detener, 2015)</t>
        </r>
      </text>
    </comment>
    <comment ref="AW17" authorId="0" shapeId="0" xr:uid="{00000000-0006-0000-0900-000006000000}">
      <text>
        <r>
          <rPr>
            <sz val="9"/>
            <color indexed="81"/>
            <rFont val="Tahoma"/>
            <family val="2"/>
          </rPr>
          <t>Updated to: The INDC alsoo specifies an absolute target of 1.3 Gt CO2e in 2025 and 1.2 Gt in 2030 (in addition to % reductions)</t>
        </r>
      </text>
    </comment>
    <comment ref="AB25" authorId="0" shapeId="0" xr:uid="{00000000-0006-0000-0900-000007000000}">
      <text>
        <r>
          <rPr>
            <b/>
            <sz val="9"/>
            <color indexed="81"/>
            <rFont val="Tahoma"/>
            <family val="2"/>
          </rPr>
          <t>approximate</t>
        </r>
      </text>
    </comment>
    <comment ref="W29" authorId="0" shapeId="0" xr:uid="{00000000-0006-0000-0900-000008000000}">
      <text>
        <r>
          <rPr>
            <b/>
            <sz val="9"/>
            <color indexed="81"/>
            <rFont val="Tahoma"/>
            <family val="2"/>
          </rPr>
          <t>incl LULUCF</t>
        </r>
      </text>
    </comment>
    <comment ref="X29" authorId="0" shapeId="0" xr:uid="{00000000-0006-0000-0900-000009000000}">
      <text>
        <r>
          <rPr>
            <b/>
            <sz val="9"/>
            <color indexed="81"/>
            <rFont val="Tahoma"/>
            <family val="2"/>
          </rPr>
          <t>incl LULUCF</t>
        </r>
      </text>
    </comment>
    <comment ref="AQ38" authorId="0" shapeId="0" xr:uid="{00000000-0006-0000-0900-00000A000000}">
      <text>
        <r>
          <rPr>
            <sz val="8"/>
            <color indexed="81"/>
            <rFont val="Tahoma"/>
            <family val="2"/>
          </rPr>
          <t xml:space="preserve">LULUCF number from Den Elzen (2015) and added peat fires from BAPPENAS presentation
http://apki.net/wp-content/uploads/2015/07/Presentasi-INDC-BAPPENAS-di-KLHK.pptx
</t>
        </r>
      </text>
    </comment>
    <comment ref="BB38" authorId="0" shapeId="0" xr:uid="{00000000-0006-0000-0900-00000B000000}">
      <text>
        <r>
          <rPr>
            <sz val="8"/>
            <color indexed="81"/>
            <rFont val="Tahoma"/>
            <family val="2"/>
          </rPr>
          <t xml:space="preserve">http://apki.net/wp-content/uploads/2015/07/Presentasi-INDC-BAPPENAS-di-KLHK.pptx
</t>
        </r>
      </text>
    </comment>
    <comment ref="AR49" authorId="0" shapeId="0" xr:uid="{00000000-0006-0000-0900-00000C000000}">
      <text>
        <r>
          <rPr>
            <sz val="8"/>
            <color indexed="81"/>
            <rFont val="Tahoma"/>
            <family val="2"/>
          </rPr>
          <t>Grassi et al: the full sink in 2030 is accounted toward the target</t>
        </r>
      </text>
    </comment>
    <comment ref="R54" authorId="0" shapeId="0" xr:uid="{00000000-0006-0000-0900-00000D000000}">
      <text>
        <r>
          <rPr>
            <b/>
            <sz val="9"/>
            <color indexed="81"/>
            <rFont val="Tahoma"/>
            <family val="2"/>
          </rPr>
          <t>approximate</t>
        </r>
      </text>
    </comment>
    <comment ref="O58" authorId="0" shapeId="0" xr:uid="{00000000-0006-0000-0900-00000E000000}">
      <text>
        <r>
          <rPr>
            <sz val="8"/>
            <color indexed="81"/>
            <rFont val="Tahoma"/>
            <family val="2"/>
          </rPr>
          <t>Assumption: 2010 LULUCF emissions are constant</t>
        </r>
      </text>
    </comment>
    <comment ref="AW58" authorId="0" shapeId="0" xr:uid="{00000000-0006-0000-0900-00000F000000}">
      <text>
        <r>
          <rPr>
            <sz val="8"/>
            <color indexed="81"/>
            <rFont val="Tahoma"/>
            <family val="2"/>
          </rPr>
          <t>Grassi assumes accounting rules, but as we have no estimates available for LULUCF credirts we assume full accounting</t>
        </r>
      </text>
    </comment>
    <comment ref="R70" authorId="0" shapeId="0" xr:uid="{00000000-0006-0000-0900-000010000000}">
      <text>
        <r>
          <rPr>
            <b/>
            <sz val="9"/>
            <color indexed="81"/>
            <rFont val="Tahoma"/>
            <family val="2"/>
          </rPr>
          <t>NC 1994; estimate</t>
        </r>
      </text>
    </comment>
    <comment ref="R75" authorId="0" shapeId="0" xr:uid="{00000000-0006-0000-0900-000011000000}">
      <text>
        <r>
          <rPr>
            <b/>
            <sz val="9"/>
            <color indexed="81"/>
            <rFont val="Tahoma"/>
            <family val="2"/>
          </rPr>
          <t>approximate</t>
        </r>
      </text>
    </comment>
    <comment ref="AB75" authorId="0" shapeId="0" xr:uid="{00000000-0006-0000-0900-000012000000}">
      <text>
        <r>
          <rPr>
            <b/>
            <sz val="9"/>
            <color indexed="81"/>
            <rFont val="Tahoma"/>
            <family val="2"/>
          </rPr>
          <t>approximate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26" authorId="0" shapeId="0" xr:uid="{00000000-0006-0000-0E00-000001000000}">
      <text>
        <r>
          <rPr>
            <b/>
            <sz val="8"/>
            <color indexed="81"/>
            <rFont val="Tahoma"/>
            <family val="2"/>
          </rPr>
          <t>Author:</t>
        </r>
        <r>
          <rPr>
            <sz val="8"/>
            <color indexed="81"/>
            <rFont val="Tahoma"/>
            <family val="2"/>
          </rPr>
          <t xml:space="preserve">
http://data.worldbank.org/indicator/PA.NUS.FCRF?locations=CN</t>
        </r>
      </text>
    </comment>
  </commentList>
</comments>
</file>

<file path=xl/sharedStrings.xml><?xml version="1.0" encoding="utf-8"?>
<sst xmlns="http://schemas.openxmlformats.org/spreadsheetml/2006/main" count="8474" uniqueCount="2634">
  <si>
    <t>Brazil</t>
  </si>
  <si>
    <t>Country</t>
  </si>
  <si>
    <t>Base year</t>
  </si>
  <si>
    <t>1a</t>
  </si>
  <si>
    <t>India</t>
  </si>
  <si>
    <t>3a</t>
  </si>
  <si>
    <t>Indonesia</t>
  </si>
  <si>
    <t>Australia</t>
  </si>
  <si>
    <t>New Zealand</t>
  </si>
  <si>
    <t>5a</t>
  </si>
  <si>
    <t>Republic of Korea</t>
  </si>
  <si>
    <t>China</t>
  </si>
  <si>
    <t>Argentina</t>
  </si>
  <si>
    <t>EU</t>
  </si>
  <si>
    <t>Japan</t>
  </si>
  <si>
    <t>Mexico</t>
  </si>
  <si>
    <t>Russia</t>
  </si>
  <si>
    <t>Saudi Arabia</t>
  </si>
  <si>
    <t>Canada</t>
  </si>
  <si>
    <t>South Africa</t>
  </si>
  <si>
    <t>South Korea</t>
  </si>
  <si>
    <t>Turkey</t>
  </si>
  <si>
    <t>USA</t>
  </si>
  <si>
    <t>EU28</t>
  </si>
  <si>
    <t>Albania</t>
  </si>
  <si>
    <t>Andorra</t>
  </si>
  <si>
    <t>Iceland</t>
  </si>
  <si>
    <t>Liechtenstein</t>
  </si>
  <si>
    <t>Norway</t>
  </si>
  <si>
    <t>San Marino</t>
  </si>
  <si>
    <t>Switzerland</t>
  </si>
  <si>
    <t>no</t>
  </si>
  <si>
    <t>yes</t>
  </si>
  <si>
    <t>6a</t>
  </si>
  <si>
    <t>2a</t>
  </si>
  <si>
    <t>10a</t>
  </si>
  <si>
    <t>http://climatepolicydatabase.org/index.php?title=CDlinks_policy_inventory</t>
  </si>
  <si>
    <t>CD-LINKS database</t>
  </si>
  <si>
    <t>http://www.climatepolicydatabase.org/index.php?title=Argentina_CDlinks_project</t>
  </si>
  <si>
    <t>http://www.climatepolicydatabase.org/index.php?title=Australia_CDlinks_project</t>
  </si>
  <si>
    <t>http://www.climatepolicydatabase.org/index.php?title=China_CDlinks_project</t>
  </si>
  <si>
    <t>http://www.climatepolicydatabase.org/index.php?title=European_Union_CDlinks_project</t>
  </si>
  <si>
    <t>http://www.climatepolicydatabase.org/index.php?title=Japan_CDlinks_project</t>
  </si>
  <si>
    <t>http://www.climatepolicydatabase.org/index.php?title=Mexico_CDlinks_project</t>
  </si>
  <si>
    <t>http://www.climatepolicydatabase.org/index.php?title=Russian_Federation_CDlinks_project</t>
  </si>
  <si>
    <t>http://www.climatepolicydatabase.org/index.php?title=Saudi_Arabia_CDlinks_project</t>
  </si>
  <si>
    <t>http://www.climatepolicydatabase.org/index.php?title=Brazil_CDlinks_project</t>
  </si>
  <si>
    <t>http://www.climatepolicydatabase.org/index.php?title=Canada_CDlinks_project</t>
  </si>
  <si>
    <t>http://www.climatepolicydatabase.org/index.php?title=India_CDlinks_project</t>
  </si>
  <si>
    <t>http://www.climatepolicydatabase.org/index.php?title=Indonesia_CDlinks_project</t>
  </si>
  <si>
    <t>http://www.climatepolicydatabase.org/index.php?title=South_Africa_CDlinks_project</t>
  </si>
  <si>
    <t>http://www.climatepolicydatabase.org/index.php?title=Republic_of_Korea_CDlinks_project</t>
  </si>
  <si>
    <t>http://www.climatepolicydatabase.org/index.php?title=Turkey_CDlinks_project</t>
  </si>
  <si>
    <t>http://www.climatepolicydatabase.org/index.php?title=United_States_CDlinks_project</t>
  </si>
  <si>
    <t>GHG reduction</t>
  </si>
  <si>
    <t>United States of America</t>
  </si>
  <si>
    <t>Zimbabwe</t>
  </si>
  <si>
    <t>Africa</t>
  </si>
  <si>
    <t>ZWE</t>
  </si>
  <si>
    <t>Zambia</t>
  </si>
  <si>
    <t>ZMB</t>
  </si>
  <si>
    <t>Tunisia</t>
  </si>
  <si>
    <t>TUN</t>
  </si>
  <si>
    <t>Togo</t>
  </si>
  <si>
    <t>TGO</t>
  </si>
  <si>
    <t>Tanzania</t>
  </si>
  <si>
    <t>TZA</t>
  </si>
  <si>
    <t>Swaziland</t>
  </si>
  <si>
    <t>SWZ</t>
  </si>
  <si>
    <t xml:space="preserve">Hybrid electric vehicles: 20% by 2030 - US$488 billion </t>
  </si>
  <si>
    <t xml:space="preserve"> Electric vehicles - US$513 billion from 2010 till 2050 </t>
  </si>
  <si>
    <t>CCS: 23 Mt CO2 from the coal-to-liquid plant - US$0.45 billion</t>
  </si>
  <si>
    <t xml:space="preserve">Decarbonised electricity by 2050 - estimated total of US$349 billion from 2010 </t>
  </si>
  <si>
    <t>ZAF</t>
  </si>
  <si>
    <t>Sierra Leone</t>
  </si>
  <si>
    <t>SLE</t>
  </si>
  <si>
    <t>Seychelles</t>
  </si>
  <si>
    <t>SYC</t>
  </si>
  <si>
    <t>Senegal</t>
  </si>
  <si>
    <t>SEN</t>
  </si>
  <si>
    <t>Sao Tome and Principe</t>
  </si>
  <si>
    <t>STP</t>
  </si>
  <si>
    <t>Rwanda</t>
  </si>
  <si>
    <t>RWA</t>
  </si>
  <si>
    <t>NGA</t>
  </si>
  <si>
    <t>Niger</t>
  </si>
  <si>
    <t>NER</t>
  </si>
  <si>
    <t>Namibia</t>
  </si>
  <si>
    <t>NAM</t>
  </si>
  <si>
    <t>Mozambique</t>
  </si>
  <si>
    <t>MOZ</t>
  </si>
  <si>
    <t>Morocco</t>
  </si>
  <si>
    <t>MAR</t>
  </si>
  <si>
    <t>Mauritius</t>
  </si>
  <si>
    <t>MUS</t>
  </si>
  <si>
    <t>Mauritania</t>
  </si>
  <si>
    <t>MRT</t>
  </si>
  <si>
    <t>Mali</t>
  </si>
  <si>
    <t>MLI</t>
  </si>
  <si>
    <t>Malawi</t>
  </si>
  <si>
    <t>MWI</t>
  </si>
  <si>
    <t>Madagascar</t>
  </si>
  <si>
    <t>MDG</t>
  </si>
  <si>
    <t>Liberia</t>
  </si>
  <si>
    <t>LBR</t>
  </si>
  <si>
    <t>Lesotho</t>
  </si>
  <si>
    <t>LSO</t>
  </si>
  <si>
    <t>Kenya</t>
  </si>
  <si>
    <t>KEN</t>
  </si>
  <si>
    <t>Guinea-Bissau</t>
  </si>
  <si>
    <t>GNB</t>
  </si>
  <si>
    <t>Guinea</t>
  </si>
  <si>
    <t>GIN</t>
  </si>
  <si>
    <t>Ghana</t>
  </si>
  <si>
    <t>GHA</t>
  </si>
  <si>
    <t>Gambia</t>
  </si>
  <si>
    <t>GMB</t>
  </si>
  <si>
    <t>Gabon</t>
  </si>
  <si>
    <t>GAB</t>
  </si>
  <si>
    <t>Ethiopia</t>
  </si>
  <si>
    <t>ETH</t>
  </si>
  <si>
    <t>Eritrea</t>
  </si>
  <si>
    <t>ERI</t>
  </si>
  <si>
    <t>Equatorial Guinea</t>
  </si>
  <si>
    <t>GNQ</t>
  </si>
  <si>
    <t>EGY</t>
  </si>
  <si>
    <t>Djibouti</t>
  </si>
  <si>
    <t>DJI</t>
  </si>
  <si>
    <t>Côte d'Ivoire</t>
  </si>
  <si>
    <t>CIV</t>
  </si>
  <si>
    <t>Congo (Dem. Rep.)</t>
  </si>
  <si>
    <t>COD</t>
  </si>
  <si>
    <t>Congo</t>
  </si>
  <si>
    <t>COG</t>
  </si>
  <si>
    <t>Comoros</t>
  </si>
  <si>
    <t>COM</t>
  </si>
  <si>
    <t>Chad</t>
  </si>
  <si>
    <t>TCD</t>
  </si>
  <si>
    <t>Central African Republic</t>
  </si>
  <si>
    <t>CAF</t>
  </si>
  <si>
    <t xml:space="preserve">25% of renewable energy in the electricity mix </t>
  </si>
  <si>
    <t>Cameroon</t>
  </si>
  <si>
    <t>CMR</t>
  </si>
  <si>
    <t>Cabo Verde</t>
  </si>
  <si>
    <t>CPV</t>
  </si>
  <si>
    <t>Burundi</t>
  </si>
  <si>
    <t>BDI</t>
  </si>
  <si>
    <t>Burkina Faso</t>
  </si>
  <si>
    <t>BFA</t>
  </si>
  <si>
    <t>Botswana</t>
  </si>
  <si>
    <t>BWA</t>
  </si>
  <si>
    <t>Benin</t>
  </si>
  <si>
    <t>BEN</t>
  </si>
  <si>
    <t>27% electricity from RES</t>
  </si>
  <si>
    <t>Algeria</t>
  </si>
  <si>
    <t>DZA</t>
  </si>
  <si>
    <t xml:space="preserve">Reducing electricity transmission and distribution losses to 15 percent </t>
  </si>
  <si>
    <t>Commissioning of a nuclear power plant</t>
  </si>
  <si>
    <t xml:space="preserve"> Tapping the full hydroelectric potential</t>
  </si>
  <si>
    <t xml:space="preserve">Increasing capacity of production of electricity from wind power to 16 GW </t>
  </si>
  <si>
    <t>Increasing capacity of production of electricity from solar power to 10 GW</t>
  </si>
  <si>
    <t>ME</t>
  </si>
  <si>
    <t>TUR</t>
  </si>
  <si>
    <t>SAU</t>
  </si>
  <si>
    <t>Lebanon</t>
  </si>
  <si>
    <t>LBN</t>
  </si>
  <si>
    <t xml:space="preserve">11% renewables in "total energy mix" </t>
  </si>
  <si>
    <t>Jordan</t>
  </si>
  <si>
    <t>JOR</t>
  </si>
  <si>
    <t>Israel</t>
  </si>
  <si>
    <t>ISR</t>
  </si>
  <si>
    <t>IRQ</t>
  </si>
  <si>
    <t>IRN</t>
  </si>
  <si>
    <t>Middle East</t>
  </si>
  <si>
    <t>Ukraine</t>
  </si>
  <si>
    <t>CIS</t>
  </si>
  <si>
    <t>UKR</t>
  </si>
  <si>
    <t>Turkmenistan</t>
  </si>
  <si>
    <t>TKM</t>
  </si>
  <si>
    <t>Tajikistan</t>
  </si>
  <si>
    <t>TJK</t>
  </si>
  <si>
    <t>Russian Federation</t>
  </si>
  <si>
    <t>RUS</t>
  </si>
  <si>
    <t>Moldova</t>
  </si>
  <si>
    <t>MDA</t>
  </si>
  <si>
    <t>Kyrgyzstan</t>
  </si>
  <si>
    <t>KGZ</t>
  </si>
  <si>
    <t>Kazakhstan</t>
  </si>
  <si>
    <t>KAZ</t>
  </si>
  <si>
    <t>Georgia</t>
  </si>
  <si>
    <t>GEO</t>
  </si>
  <si>
    <t>Belarus</t>
  </si>
  <si>
    <t>BLR</t>
  </si>
  <si>
    <t>Azerbaijan</t>
  </si>
  <si>
    <t>AZE</t>
  </si>
  <si>
    <t>Armenia</t>
  </si>
  <si>
    <t>ARM</t>
  </si>
  <si>
    <t>Vietnam</t>
  </si>
  <si>
    <t>Asia</t>
  </si>
  <si>
    <t>VNM</t>
  </si>
  <si>
    <t>Thailand</t>
  </si>
  <si>
    <t>THA</t>
  </si>
  <si>
    <t>Singapore</t>
  </si>
  <si>
    <t>SGP</t>
  </si>
  <si>
    <t>Philippines</t>
  </si>
  <si>
    <t>PHL</t>
  </si>
  <si>
    <t>PAK</t>
  </si>
  <si>
    <t>Myanmar</t>
  </si>
  <si>
    <t>MMR</t>
  </si>
  <si>
    <t>Mongolia</t>
  </si>
  <si>
    <t>MNG</t>
  </si>
  <si>
    <t>Maldives</t>
  </si>
  <si>
    <t>MDV</t>
  </si>
  <si>
    <t>MYS</t>
  </si>
  <si>
    <t>Lao</t>
  </si>
  <si>
    <t>LAO</t>
  </si>
  <si>
    <t>IDN</t>
  </si>
  <si>
    <t xml:space="preserve">create additional carbon sink of 2.5 to 3 bn tCO2eq through additional forest and tree cover </t>
  </si>
  <si>
    <t>IND</t>
  </si>
  <si>
    <t xml:space="preserve"> increase the forest stock volume by around 4.5 billion cubic meters on the 2005 level</t>
  </si>
  <si>
    <t xml:space="preserve">20% non-fossil fuels in primary energy consumption </t>
  </si>
  <si>
    <t>CHN</t>
  </si>
  <si>
    <t>Cambodia</t>
  </si>
  <si>
    <t>KHM</t>
  </si>
  <si>
    <t>Bhutan</t>
  </si>
  <si>
    <t>BTN</t>
  </si>
  <si>
    <t>70% of landfill gas captured and used for electricity generation</t>
  </si>
  <si>
    <t>1000MW solar</t>
  </si>
  <si>
    <t>400MW wind</t>
  </si>
  <si>
    <t>reduce energy intensity relative to 2013</t>
  </si>
  <si>
    <t>Bangladesh</t>
  </si>
  <si>
    <t>BGD</t>
  </si>
  <si>
    <t>Afghanistan</t>
  </si>
  <si>
    <t>AFG</t>
  </si>
  <si>
    <t>Vanuatu</t>
  </si>
  <si>
    <t>Pacific</t>
  </si>
  <si>
    <t>VUT</t>
  </si>
  <si>
    <t>Solomon Islands</t>
  </si>
  <si>
    <t>SLB</t>
  </si>
  <si>
    <t>Samoa</t>
  </si>
  <si>
    <t>WSM</t>
  </si>
  <si>
    <t>100% Renewables in electricity</t>
  </si>
  <si>
    <t>Papua New Guinea</t>
  </si>
  <si>
    <t>PNG</t>
  </si>
  <si>
    <t>NZL</t>
  </si>
  <si>
    <t>Marshall Islands</t>
  </si>
  <si>
    <t>MHL</t>
  </si>
  <si>
    <t>Korea (Republic)</t>
  </si>
  <si>
    <t>KOR</t>
  </si>
  <si>
    <t>Kiribati</t>
  </si>
  <si>
    <t>KIR</t>
  </si>
  <si>
    <t>JPN</t>
  </si>
  <si>
    <t>AUS</t>
  </si>
  <si>
    <t>CS Am</t>
  </si>
  <si>
    <t>VEN</t>
  </si>
  <si>
    <t>Uruguay</t>
  </si>
  <si>
    <t>URY</t>
  </si>
  <si>
    <t>Trinidad and Tobago</t>
  </si>
  <si>
    <t>TTO</t>
  </si>
  <si>
    <t>Suriname</t>
  </si>
  <si>
    <t>SUR</t>
  </si>
  <si>
    <t>Peru</t>
  </si>
  <si>
    <t>PER</t>
  </si>
  <si>
    <t>Paraguay</t>
  </si>
  <si>
    <t>PRY</t>
  </si>
  <si>
    <t>Honduras</t>
  </si>
  <si>
    <t>HND</t>
  </si>
  <si>
    <t>Haiti</t>
  </si>
  <si>
    <t>HTI</t>
  </si>
  <si>
    <t>Guyana</t>
  </si>
  <si>
    <t>GUY</t>
  </si>
  <si>
    <t>Guatemala</t>
  </si>
  <si>
    <t>GTM</t>
  </si>
  <si>
    <t>Grenada</t>
  </si>
  <si>
    <t>GRD</t>
  </si>
  <si>
    <t xml:space="preserve"> increase hydro energy capacity to 2.2GW (conditional 4.3 GW)</t>
  </si>
  <si>
    <t>Ecuador</t>
  </si>
  <si>
    <t xml:space="preserve">Restore 500,000 hectares of forest by 2017 and increase this by 100,000 hectares per year until 2025 </t>
  </si>
  <si>
    <t>ECU</t>
  </si>
  <si>
    <t>Dominican Republic</t>
  </si>
  <si>
    <t>DOM</t>
  </si>
  <si>
    <t>Dominica</t>
  </si>
  <si>
    <t>DMA</t>
  </si>
  <si>
    <t>Costa Rica</t>
  </si>
  <si>
    <t>CRI</t>
  </si>
  <si>
    <t>Colombia</t>
  </si>
  <si>
    <t>COL</t>
  </si>
  <si>
    <t>Will recover and sustainable manage 100.000 hectares of forest, and reforest additional 100.000 hectares</t>
  </si>
  <si>
    <t>No</t>
  </si>
  <si>
    <t>Chile</t>
  </si>
  <si>
    <t>CHL</t>
  </si>
  <si>
    <t>BRA</t>
  </si>
  <si>
    <t>Bolivia</t>
  </si>
  <si>
    <t>BOL</t>
  </si>
  <si>
    <t>Belize</t>
  </si>
  <si>
    <t>BLZ</t>
  </si>
  <si>
    <t>Barbados</t>
  </si>
  <si>
    <t>BRB</t>
  </si>
  <si>
    <t>ARG</t>
  </si>
  <si>
    <t>Central &amp; South America</t>
  </si>
  <si>
    <t>N Am</t>
  </si>
  <si>
    <t>MEX</t>
  </si>
  <si>
    <t>CAN</t>
  </si>
  <si>
    <t>North America</t>
  </si>
  <si>
    <t>Europe</t>
  </si>
  <si>
    <t>CHE</t>
  </si>
  <si>
    <t>Serbia</t>
  </si>
  <si>
    <t>SRB</t>
  </si>
  <si>
    <t>SMR</t>
  </si>
  <si>
    <t>NOR</t>
  </si>
  <si>
    <t>Montenegro</t>
  </si>
  <si>
    <t>MNE</t>
  </si>
  <si>
    <t>Macedonia (FYROM)</t>
  </si>
  <si>
    <t>MKD</t>
  </si>
  <si>
    <t>LIE</t>
  </si>
  <si>
    <t>ISL</t>
  </si>
  <si>
    <t>Bosnia-Herzegovina</t>
  </si>
  <si>
    <t>BIH</t>
  </si>
  <si>
    <t>AND</t>
  </si>
  <si>
    <t>ALB</t>
  </si>
  <si>
    <t>Policy (includes only countries &gt;0.15 of global 2010 emissions)</t>
  </si>
  <si>
    <t>Binding</t>
  </si>
  <si>
    <t>Target year</t>
  </si>
  <si>
    <t>Party</t>
  </si>
  <si>
    <t>Region</t>
  </si>
  <si>
    <t>ISO3</t>
  </si>
  <si>
    <t>Egypt</t>
  </si>
  <si>
    <t>Iraq</t>
  </si>
  <si>
    <t>WRD</t>
  </si>
  <si>
    <t>World</t>
  </si>
  <si>
    <t>Malaysia</t>
  </si>
  <si>
    <t>Nigeria</t>
  </si>
  <si>
    <t>Pakistan</t>
  </si>
  <si>
    <t>Highest mitigation impact policies</t>
  </si>
  <si>
    <t>Policy target/policy instrument</t>
  </si>
  <si>
    <t>Climate Policy database</t>
  </si>
  <si>
    <t>Policy status</t>
  </si>
  <si>
    <t>Target</t>
  </si>
  <si>
    <t>Period</t>
  </si>
  <si>
    <t>GHG emissions (incl LULUCF)</t>
  </si>
  <si>
    <t>Renewable share in TPES</t>
  </si>
  <si>
    <t>Renewable share in electricity production</t>
  </si>
  <si>
    <t>Renewable share in electricity production (excl hydro)</t>
  </si>
  <si>
    <t>Action Plan for Deforestation Prevention and Control in the Legal Amazon (PPCDAm)</t>
  </si>
  <si>
    <t>Greenhouse gas emissions</t>
  </si>
  <si>
    <t>10 Year National Energy Expansion Plan - renewable capacity target (electricity)</t>
  </si>
  <si>
    <t xml:space="preserve">Plan for Energy Expansion Brazil </t>
  </si>
  <si>
    <t>Energy</t>
  </si>
  <si>
    <t>10 Year National Energy Expansion Plan - renewable mix target (primary energy)</t>
  </si>
  <si>
    <t>Dedicated auctions for renewable energy supply</t>
  </si>
  <si>
    <t xml:space="preserve">Brazil Renewable Energy Auctions Brazil 2007 </t>
  </si>
  <si>
    <t>4a</t>
  </si>
  <si>
    <t>National Biodiesel Programme</t>
  </si>
  <si>
    <t>National Biodiesel Programme (PNPB)</t>
  </si>
  <si>
    <t>Biodiesel share in diesel</t>
  </si>
  <si>
    <t>4b</t>
  </si>
  <si>
    <t>Ethanol Blending Mandate</t>
  </si>
  <si>
    <t>Ethanol Blending Mandate Brazil 1993</t>
  </si>
  <si>
    <t>INOVAR Auta tax rebate (vehicle efficiency)</t>
  </si>
  <si>
    <t xml:space="preserve">Inovar-Auto Brazil 2012 </t>
  </si>
  <si>
    <t>Subsidy/tax on sold cars</t>
  </si>
  <si>
    <t>30% tax , but not for cars meeting 1.82 MJ/km</t>
  </si>
  <si>
    <t>Ban on incandescent light bulbs</t>
  </si>
  <si>
    <t>Energ use/m2</t>
  </si>
  <si>
    <t>Building code (LEED)</t>
  </si>
  <si>
    <t xml:space="preserve">LEED - Building Energy efficiency Brazil </t>
  </si>
  <si>
    <t>Industry plan</t>
  </si>
  <si>
    <t xml:space="preserve">Climate change mitigation and adaptation sector plan for the consolidation of a low carbon economy in the manufacturing industry </t>
  </si>
  <si>
    <t>5% reduction</t>
  </si>
  <si>
    <t xml:space="preserve">Action Plan for Deforestation Prevention and Control of Deforestation and Burning in the Cerrados (PPCerrados) </t>
  </si>
  <si>
    <t>Low-Carbon Agriculture Plan (ABC)</t>
  </si>
  <si>
    <t xml:space="preserve">Low-Carbon Agriculture Plan (ABC Plan) </t>
  </si>
  <si>
    <t xml:space="preserve">133-166 Mton reduction </t>
  </si>
  <si>
    <t>37% reduction</t>
  </si>
  <si>
    <t>BAU</t>
  </si>
  <si>
    <t>Korean Emission Trading System</t>
  </si>
  <si>
    <t xml:space="preserve">Emissions Trading Scheme Korea (South) 2015 </t>
  </si>
  <si>
    <t>551 MtCO2e</t>
  </si>
  <si>
    <t xml:space="preserve">2nd National Energy Master Plan </t>
  </si>
  <si>
    <t>4th National Basic Plan for New and Renewable Energies (2014-2035)</t>
  </si>
  <si>
    <t>Demand reduction in the total energy demand (2nd Energy Master Plan)</t>
  </si>
  <si>
    <t>13% reduction</t>
  </si>
  <si>
    <t>BAU (254.1 mn. TOE)</t>
  </si>
  <si>
    <t>Total electricity production</t>
  </si>
  <si>
    <t>15% reduction</t>
  </si>
  <si>
    <t>BAU (816 TWh)</t>
  </si>
  <si>
    <t>The Renewable Portfolio Standard (RPS)</t>
  </si>
  <si>
    <t>Subsidy program 'One Million Green Homes' for residential buildings</t>
  </si>
  <si>
    <t>One Million Green Homes</t>
  </si>
  <si>
    <t>gCO2/km</t>
  </si>
  <si>
    <t xml:space="preserve">Development and Distribution Plan for Electric Vehicles </t>
  </si>
  <si>
    <t>Number of hybrid/electric cars</t>
  </si>
  <si>
    <t>Renewable Fuel Standard</t>
  </si>
  <si>
    <t xml:space="preserve">Renewable Fuel Standard (2015-2020) </t>
  </si>
  <si>
    <t>Light-duty efficiency standards</t>
  </si>
  <si>
    <t>Light-duty emissions regulation United States of America</t>
  </si>
  <si>
    <t xml:space="preserve">2.       </t>
  </si>
  <si>
    <t>Heav-duty vehicle standards</t>
  </si>
  <si>
    <t xml:space="preserve">Heavy-duty emissions regulation United States of America </t>
  </si>
  <si>
    <t>Fuel consumption (new vehicles)</t>
  </si>
  <si>
    <t>46% reduction (1)</t>
  </si>
  <si>
    <t xml:space="preserve">Clean Power Plan United States of America 2014 </t>
  </si>
  <si>
    <t>GHG emissinions (electricity sector)</t>
  </si>
  <si>
    <t>32% reduction</t>
  </si>
  <si>
    <t>New Power Plants standards</t>
  </si>
  <si>
    <t>gCO2/KWh (new power plants)</t>
  </si>
  <si>
    <t xml:space="preserve">Renewable Fuel Standard (RFS) Program </t>
  </si>
  <si>
    <t>Share of biofuels</t>
  </si>
  <si>
    <t>Biofuels volume</t>
  </si>
  <si>
    <t>HFC measures (Montreal Protocol/SNAP program) (planned)</t>
  </si>
  <si>
    <t xml:space="preserve">Significant New Alternatives Policy (SNAP) Program United States of America 1990 </t>
  </si>
  <si>
    <t>HFC emissions</t>
  </si>
  <si>
    <t>85% reduction</t>
  </si>
  <si>
    <t>2008-2010</t>
  </si>
  <si>
    <t>Appliance and equipment standards</t>
  </si>
  <si>
    <t xml:space="preserve">Federal Appliance Standards United States of America 2012 </t>
  </si>
  <si>
    <t>Strategy to reduce methane emissions</t>
  </si>
  <si>
    <t>GHG emissions (oil&amp;gas production)</t>
  </si>
  <si>
    <t>40-45% reduction</t>
  </si>
  <si>
    <t xml:space="preserve">Building Energy Codes United States of America 1992 </t>
  </si>
  <si>
    <t>Better Plants, Better Buildings</t>
  </si>
  <si>
    <t>30% reduction</t>
  </si>
  <si>
    <t xml:space="preserve">Reduction of Carbon Dioxide Emissions from Coal-fired Generation of Electricity Regulations </t>
  </si>
  <si>
    <t xml:space="preserve">On-road vehicles and engine emissions regulations Canada 2004 </t>
  </si>
  <si>
    <t xml:space="preserve">gCO2/km (km/l)
</t>
  </si>
  <si>
    <t xml:space="preserve">98 (23.2)
</t>
  </si>
  <si>
    <t>Heavy-duty Vehicle and Engine Greenhouse Gas Emission Regulations Canada 2014</t>
  </si>
  <si>
    <t>Renewable fuel regulations (biofuel bill - amendment to CEPA)</t>
  </si>
  <si>
    <t xml:space="preserve">Renewable Fuels Regulations (Biofuels Bill) Canada 2008 </t>
  </si>
  <si>
    <t>Share of bio-ethanol</t>
  </si>
  <si>
    <t xml:space="preserve">2011 - </t>
  </si>
  <si>
    <t>Share of biodiesel</t>
  </si>
  <si>
    <t>Minimum energy performance standards for general service incandescent lamps</t>
  </si>
  <si>
    <t xml:space="preserve">Amendment 12B to the Energy efficiency Regulations Canada 2013 </t>
  </si>
  <si>
    <t>2013-</t>
  </si>
  <si>
    <t>Building codes and standards and product standards for Appliances, Heating and cooling, Hot water and cooking / ecoEnergy Efficiency for Buildings</t>
  </si>
  <si>
    <t xml:space="preserve">EcoENERGY Efficiency program </t>
  </si>
  <si>
    <t>Energy efficiency requirements for marine vessels (Vessel Pollution and Dangerous Chemicals Regulations)</t>
  </si>
  <si>
    <t xml:space="preserve">Marine Vessel Fuel Efficiency Regulations </t>
  </si>
  <si>
    <t>Energy efficiency improvement</t>
  </si>
  <si>
    <t>Renewable Capacity Target (Integrated Energy Plan / Integrated Resource Plan for Electricity)</t>
  </si>
  <si>
    <t xml:space="preserve">Integrated Resource Electricity Plan 2010 – 2030 South Africa 2011 </t>
  </si>
  <si>
    <t>Share of renewables in total capacity (excl/incl hydro)</t>
  </si>
  <si>
    <t>21%/26.3%</t>
  </si>
  <si>
    <t>Installed Hydro capacity</t>
  </si>
  <si>
    <t>Instlled Wind capacity</t>
  </si>
  <si>
    <t>Installed CSP capacity</t>
  </si>
  <si>
    <t>Integrated Resource Plan for Electricity / Reduce Reliance on Coal</t>
  </si>
  <si>
    <t>Share of coal in electricity generation (reduce to target)</t>
  </si>
  <si>
    <t>National Development Plan through the Integrated Resource Plan for Electricity</t>
  </si>
  <si>
    <t xml:space="preserve">National Development Plan </t>
  </si>
  <si>
    <t>Renewable Energy Independent Power Producer Programme (REIPPP)</t>
  </si>
  <si>
    <t>Renewable Energy Independent Power Producer Programme (REIPPP) South Africa 2011</t>
  </si>
  <si>
    <t>National Development Plan / zero emission building standards</t>
  </si>
  <si>
    <t>Regulations Regarding the Mandatory Blending of Bio-fuels with Petrol and Diesel / Biofuels Industrial Strategy</t>
  </si>
  <si>
    <t xml:space="preserve">Biofuels Industrial Strategy South Africa 2007 </t>
  </si>
  <si>
    <t xml:space="preserve">2015 - </t>
  </si>
  <si>
    <t>Building codes / National Building Regulation 2011</t>
  </si>
  <si>
    <t xml:space="preserve">National Building Regulation 2011 South Africa 2011 </t>
  </si>
  <si>
    <t>Primary energy use of existing and new residential</t>
  </si>
  <si>
    <t>200 kWh/m2/year</t>
  </si>
  <si>
    <t>Carbon tax</t>
  </si>
  <si>
    <t xml:space="preserve">Carbon Tax </t>
  </si>
  <si>
    <t>Carbon price</t>
  </si>
  <si>
    <t>[R6-R48]/tonne CO2e</t>
  </si>
  <si>
    <t>2017-2020</t>
  </si>
  <si>
    <t>Solar power capacity</t>
  </si>
  <si>
    <t>10 GW</t>
  </si>
  <si>
    <t>Wind power capacity</t>
  </si>
  <si>
    <t>16 GW</t>
  </si>
  <si>
    <t>Nuclear power plant</t>
  </si>
  <si>
    <t>Renewable energy action plan</t>
  </si>
  <si>
    <t xml:space="preserve">National Renewable Energy Action Plan for Turkey </t>
  </si>
  <si>
    <t>Share of renewable final energy consumption</t>
  </si>
  <si>
    <t>Law for the Utilization of the Renewable Energy Resources for the Electricity Energy Production</t>
  </si>
  <si>
    <t>Act No. 5346 on Utilization of Renewable Energy Sources for the Purposes of Generating Electrical Energy (Renewable Energy Law) Turkey 2005</t>
  </si>
  <si>
    <t>Share of renewables in electricity production</t>
  </si>
  <si>
    <t xml:space="preserve">Energy efficiency law / Energy efficiency strategy paper </t>
  </si>
  <si>
    <t xml:space="preserve">Energy efficiency Strategy Paper 2012-2023 Turkey 2012 </t>
  </si>
  <si>
    <t>Energy (TPES) intensity (GJ/GDP)</t>
  </si>
  <si>
    <t>20% reduction</t>
  </si>
  <si>
    <t>Transport goals in National Climate Change Plan</t>
  </si>
  <si>
    <t xml:space="preserve">Climate Change Action Plan 2011-2023 Turkey 2011 </t>
  </si>
  <si>
    <t>Share of railroads in freight/transport</t>
  </si>
  <si>
    <t>15%/10%</t>
  </si>
  <si>
    <t>Share of seaways in cabotage freight/passenger transport</t>
  </si>
  <si>
    <t>10%/4%</t>
  </si>
  <si>
    <t>Share of highways in freight/passenger</t>
  </si>
  <si>
    <t>below 60%/72%</t>
  </si>
  <si>
    <t>Forestry goal</t>
  </si>
  <si>
    <t>Carbon sequestred</t>
  </si>
  <si>
    <t>15% increase</t>
  </si>
  <si>
    <t>Regulations and rating of energy performance in buildings</t>
  </si>
  <si>
    <t>?</t>
  </si>
  <si>
    <t>Renewable energy for energy demand of new buildings</t>
  </si>
  <si>
    <t>Share of renewable energy in annual energy demand of new buildings</t>
  </si>
  <si>
    <t xml:space="preserve">Improving Energy efficiency in Building Sector Turkey 2009 </t>
  </si>
  <si>
    <t>26%-41% reduction</t>
  </si>
  <si>
    <t>National Energy Policy 2014</t>
  </si>
  <si>
    <t>National Energy Policy (Government Regulation No. 79/2014) Indonesia 2014</t>
  </si>
  <si>
    <t>National Electricity Plan (RUKN)</t>
  </si>
  <si>
    <t>Electricity Supply Business Plan (RUPTL)</t>
  </si>
  <si>
    <t>Electricity Supply Business Plan (RUPTL) (2016-2025)</t>
  </si>
  <si>
    <t>7a</t>
  </si>
  <si>
    <t>Feed-in-tarrif</t>
  </si>
  <si>
    <t>Electricity Purchase from Small and Medium Scale Renewable Energy and Excess Power (No. 4/2012) Indonesia 2012</t>
  </si>
  <si>
    <t>Rp/kWh</t>
  </si>
  <si>
    <t>(several)</t>
  </si>
  <si>
    <t>7b</t>
  </si>
  <si>
    <t>Geothermal tarrif</t>
  </si>
  <si>
    <t xml:space="preserve">Ceiling Price for Geothermal (Ministerial Regulation No. 17/2014) </t>
  </si>
  <si>
    <t>8a</t>
  </si>
  <si>
    <t>Biofuel blending (bio-ethanol)</t>
  </si>
  <si>
    <t>Biofuel Blending (Ministry Regulation No. 25/2013) Indonesia 2013</t>
  </si>
  <si>
    <t>Bio-ethanol share</t>
  </si>
  <si>
    <t>8b</t>
  </si>
  <si>
    <t>Biofuel blending (biodiesel)</t>
  </si>
  <si>
    <t>Biodiesel share</t>
  </si>
  <si>
    <t>Installed capacity</t>
  </si>
  <si>
    <t>CDM</t>
  </si>
  <si>
    <t>Emissions mitigated 2005-2030 (MtCO2e)</t>
  </si>
  <si>
    <t>Renewable Capacity targets 2022 - Wind (national wind mission)</t>
  </si>
  <si>
    <t>Supercritical power generation (Twelfth Five Year Plan &amp; National Mission for clean coal (carbon) technologies)</t>
  </si>
  <si>
    <t>LED replacements</t>
  </si>
  <si>
    <t>LED units
Emission mitigated (MtCO2e</t>
  </si>
  <si>
    <t>750 million
260 Mt</t>
  </si>
  <si>
    <t xml:space="preserve">
2005</t>
  </si>
  <si>
    <t>2020
2030</t>
  </si>
  <si>
    <t>Support for biofuels - ethanol blending policy (rank 7 by IIM) / biodiesel policy (rank 10 by IIM)</t>
  </si>
  <si>
    <t>Emissions mitigated 2005-2020 (MtCO2e)</t>
  </si>
  <si>
    <t>Green India Mission (GIM) for restoration of forest cover stock and restoration of degraded forests</t>
  </si>
  <si>
    <t>Green highways (plantation &amp; maintenance) policy: tree plantation along 140,000 km highway</t>
  </si>
  <si>
    <t>Final energy consumption (industry)</t>
  </si>
  <si>
    <t>Electric cars subsidies until 2016</t>
  </si>
  <si>
    <t>Fuel effiiciency (light-duty verhicles)</t>
  </si>
  <si>
    <t>Fuel efficiency standard for new cars</t>
  </si>
  <si>
    <t>Fuel economy standards</t>
  </si>
  <si>
    <t>Corporate Average Fuel Economy Standards (CAFE) Saudi Arabia 2013</t>
  </si>
  <si>
    <t>Fuel consumption (corporate vehicles)</t>
  </si>
  <si>
    <t>Economic diversification</t>
  </si>
  <si>
    <t>10th Development Plan Saudi Arabia (2015-2019)</t>
  </si>
  <si>
    <t>Share of non-oil sector</t>
  </si>
  <si>
    <t>Solar energy target</t>
  </si>
  <si>
    <t>Royal Decree establishing King Abdullah City for Atomic and Renewable Energy 2010 Saudi Arabia 2010</t>
  </si>
  <si>
    <t>Solar installed capacity (GW)</t>
  </si>
  <si>
    <t>Wind energy target</t>
  </si>
  <si>
    <t>Wind installed capacity (GW)</t>
  </si>
  <si>
    <t>4c</t>
  </si>
  <si>
    <t>Waste-to-energy target</t>
  </si>
  <si>
    <t>Waste-to-energy installed capacity (GW)</t>
  </si>
  <si>
    <t>4d</t>
  </si>
  <si>
    <t>Geothermal energy target</t>
  </si>
  <si>
    <t>Geothermal installed capacity (GW)</t>
  </si>
  <si>
    <t>Energy efficiency target (electricity)</t>
  </si>
  <si>
    <t>National Energy efficiency Programme 2008 Saudi Arabia 2008</t>
  </si>
  <si>
    <t>X</t>
  </si>
  <si>
    <t>59.1% in 2014 to 66% in 2019</t>
  </si>
  <si>
    <t>41GW</t>
  </si>
  <si>
    <t>9GW</t>
  </si>
  <si>
    <t>3GW</t>
  </si>
  <si>
    <t>1GW</t>
  </si>
  <si>
    <t>6b</t>
  </si>
  <si>
    <t>Gases coverage</t>
  </si>
  <si>
    <t>Sectors coverage</t>
  </si>
  <si>
    <t>Metric used</t>
  </si>
  <si>
    <t>BY emissions source</t>
  </si>
  <si>
    <t>BY emissions, CAIT</t>
  </si>
  <si>
    <t>2010 emissions source</t>
  </si>
  <si>
    <t>2010 emissions, UNFCCC</t>
  </si>
  <si>
    <t>2010 emissions, CAIT</t>
  </si>
  <si>
    <t>% world emissions, 2010</t>
  </si>
  <si>
    <t>BY GDP</t>
  </si>
  <si>
    <t>Target year GDP</t>
  </si>
  <si>
    <t>Additional information</t>
  </si>
  <si>
    <t>Recommendations</t>
  </si>
  <si>
    <t>CO2</t>
  </si>
  <si>
    <t>Energy, industrial processes</t>
  </si>
  <si>
    <t>-11.5% in the period 2016-2030</t>
  </si>
  <si>
    <t>-12%</t>
  </si>
  <si>
    <t>Emissions 2030 below BAU</t>
  </si>
  <si>
    <t>CAIT</t>
  </si>
  <si>
    <t>Means 708ktCO2 reduction in 2030. Present: 2.76 tCO2e/cap; 2050: 2 tCO2e/cap</t>
  </si>
  <si>
    <t>All GHGs</t>
  </si>
  <si>
    <t>All sectors</t>
  </si>
  <si>
    <t>At least -40% domestic</t>
  </si>
  <si>
    <t>-40%</t>
  </si>
  <si>
    <t>Emissions by 2030 below 1990</t>
  </si>
  <si>
    <t>UNFCCC CRF 2014</t>
  </si>
  <si>
    <t>Emissions 2030 below 1990</t>
  </si>
  <si>
    <t>FF combustion</t>
  </si>
  <si>
    <t>-30%</t>
  </si>
  <si>
    <t>-36%</t>
  </si>
  <si>
    <t>At least -40%</t>
  </si>
  <si>
    <t>-9.8%</t>
  </si>
  <si>
    <t>-10%</t>
  </si>
  <si>
    <t>-50%</t>
  </si>
  <si>
    <t>All sectors excl LULUCF</t>
  </si>
  <si>
    <t>Emissions 2030 below 2005</t>
  </si>
  <si>
    <t>POLES-JRC (IEA/Enerdata, FAO, EDGAR, national statistics)</t>
  </si>
  <si>
    <t>-22%</t>
  </si>
  <si>
    <t>Emissions peaking after 2026</t>
  </si>
  <si>
    <t>-26%</t>
  </si>
  <si>
    <t>-28%</t>
  </si>
  <si>
    <t>Emissions 2025 below 2005</t>
  </si>
  <si>
    <t>-15%</t>
  </si>
  <si>
    <t>460-470</t>
  </si>
  <si>
    <t>-37%</t>
  </si>
  <si>
    <t>-35% to -45%</t>
  </si>
  <si>
    <t>-45%</t>
  </si>
  <si>
    <t>GHG intensity 2030 below 2007</t>
  </si>
  <si>
    <t>-20%</t>
  </si>
  <si>
    <t>-25%</t>
  </si>
  <si>
    <t>Emissions 2030 below 2012</t>
  </si>
  <si>
    <t>Emissions 2030 below 2010</t>
  </si>
  <si>
    <t>20.4%</t>
  </si>
  <si>
    <t>45.8%</t>
  </si>
  <si>
    <t>Emissions 2025 below BAU</t>
  </si>
  <si>
    <t>Emissions 2025 below 2010</t>
  </si>
  <si>
    <t>CO2, CH4, N2O</t>
  </si>
  <si>
    <t>BAU emissions excl LULUCF: 2010: 78; 2030: 139.3</t>
  </si>
  <si>
    <t>All sectors excl sinks</t>
  </si>
  <si>
    <t>-26% (25.4% compared to 2005; 1.042 GtCO2e in 2030)</t>
  </si>
  <si>
    <t>Emissions 2030 below 2013</t>
  </si>
  <si>
    <t>A decision on whether to include LULUCF will be made at a later stage</t>
  </si>
  <si>
    <t>-32%</t>
  </si>
  <si>
    <t>EDGAR</t>
  </si>
  <si>
    <t>indicative target 45% below 2010 levels by 2030</t>
  </si>
  <si>
    <t>Energy, natural resource management, agriculture, waste management and mining</t>
  </si>
  <si>
    <t>-13.6%</t>
  </si>
  <si>
    <t>-14%</t>
  </si>
  <si>
    <t>power, transport and industry</t>
  </si>
  <si>
    <t>-5%</t>
  </si>
  <si>
    <t xml:space="preserve">Energy related </t>
  </si>
  <si>
    <t>-27%</t>
  </si>
  <si>
    <t>-60%</t>
  </si>
  <si>
    <t>-65%</t>
  </si>
  <si>
    <t>CO2 intensity 2030 vs 2005</t>
  </si>
  <si>
    <t>-33%</t>
  </si>
  <si>
    <t>-35%</t>
  </si>
  <si>
    <t>GHG intensity 2030 vs 2005</t>
  </si>
  <si>
    <t>-29%</t>
  </si>
  <si>
    <t>-41%</t>
  </si>
  <si>
    <t>GHG intensity 2030 below 2005</t>
  </si>
  <si>
    <t>-70%</t>
  </si>
  <si>
    <t>emissions peaking around 2030</t>
  </si>
  <si>
    <t>-8% (GHG intensity -20% compared to 2010)</t>
  </si>
  <si>
    <t>-25% (GHG intensity -30% compared to 2010)</t>
  </si>
  <si>
    <t>-8%</t>
  </si>
  <si>
    <t>-64%</t>
  </si>
  <si>
    <t>-67%</t>
  </si>
  <si>
    <t>-10 to -20%</t>
  </si>
  <si>
    <t>-25% to -35%</t>
  </si>
  <si>
    <t>LULUCF measures to be defined after 2020</t>
  </si>
  <si>
    <t>WP6</t>
  </si>
  <si>
    <t>(Information inferred from graph; text in Arabic)</t>
  </si>
  <si>
    <t>26%</t>
  </si>
  <si>
    <t>Emissions per capita 2030 below 2005</t>
  </si>
  <si>
    <t>Emissions reductions 2030 from BAU</t>
  </si>
  <si>
    <t>-21%</t>
  </si>
  <si>
    <t>-7%</t>
  </si>
  <si>
    <t>-6.6%</t>
  </si>
  <si>
    <t>-18.2%</t>
  </si>
  <si>
    <t>-18%</t>
  </si>
  <si>
    <t>Energy, agriculture, forestry, waste (no LULUCF)</t>
  </si>
  <si>
    <t>Emissions 2035 below BAU</t>
  </si>
  <si>
    <t>-3,5%</t>
  </si>
  <si>
    <t>Energy, agriculture, forestry (no LULUCF)</t>
  </si>
  <si>
    <t>-17%</t>
  </si>
  <si>
    <t>-45.4% (-44.4% by 2025)</t>
  </si>
  <si>
    <t>Emissions 2035 below 2010</t>
  </si>
  <si>
    <t>-13%</t>
  </si>
  <si>
    <t>-3.5% (-2.5% by 2020)</t>
  </si>
  <si>
    <t>-34.6% by 2030 (-25% by 2020)</t>
  </si>
  <si>
    <t>-4%</t>
  </si>
  <si>
    <t>Details in em.intens, em/cap (2-3.4tCO2e/cap in 2030)</t>
  </si>
  <si>
    <t>-24%</t>
  </si>
  <si>
    <t>Emissions 2030</t>
  </si>
  <si>
    <t>-10% to 20%</t>
  </si>
  <si>
    <t>-41%; for energy sector -46%</t>
  </si>
  <si>
    <t>GHG intensity 2030 below 2010</t>
  </si>
  <si>
    <t>Energy, Agriculture, Waste, LULUCF</t>
  </si>
  <si>
    <t>-47%</t>
  </si>
  <si>
    <t>Emission reduction</t>
  </si>
  <si>
    <t>Intensity target</t>
  </si>
  <si>
    <t>AR4</t>
  </si>
  <si>
    <t>x</t>
  </si>
  <si>
    <t>SAR</t>
  </si>
  <si>
    <t>Include</t>
  </si>
  <si>
    <t>Exclude</t>
  </si>
  <si>
    <t>Accounting rules according to Grassi/Dentener</t>
  </si>
  <si>
    <t>Comments</t>
  </si>
  <si>
    <t>Energy/industry policies</t>
  </si>
  <si>
    <t>AFOLU policies</t>
  </si>
  <si>
    <t>Non-climate policies (air pollution, energy access, energy security)</t>
  </si>
  <si>
    <t>Biofuel tax exemption</t>
  </si>
  <si>
    <t>Law 26.093 (2006) Regimen of Regulation and Promotion of the Production and Sustainable Use of Biofuels Argentina 2006</t>
  </si>
  <si>
    <t>Implemented</t>
  </si>
  <si>
    <t>Tax exemption for biofuels</t>
  </si>
  <si>
    <t>more than 40% of price fuel price that would have been otherwise added as tax</t>
  </si>
  <si>
    <t xml:space="preserve">It also provides tax breaks to encourage production (from farmers and agricultural firms meeting the requirements) and export of biofuels. Such incentives are low export taxes, accelerated depreciation through income tax, VAT break, and exemption from the taxes on Hydrocarbons and Diesel (20% each). Hence, biofuels are at least 40% cheaper than fossil fuels </t>
  </si>
  <si>
    <t>1b</t>
  </si>
  <si>
    <t>Biofuel blending requirements</t>
  </si>
  <si>
    <t>Minimum blend of biodiesel or ethanol in gasoline</t>
  </si>
  <si>
    <t>since 2016</t>
  </si>
  <si>
    <t>Renewables share target</t>
  </si>
  <si>
    <t>Law 27191 on renewable energy</t>
  </si>
  <si>
    <t>Renewables electricity share target (national and imposed on companies)</t>
  </si>
  <si>
    <t>Furthermore, large energy users (demand &gt; 300kW) are obliged to reach these targets individually, or pay a penalty.</t>
  </si>
  <si>
    <t>2b</t>
  </si>
  <si>
    <t>2c</t>
  </si>
  <si>
    <t>2d</t>
  </si>
  <si>
    <t>2e</t>
  </si>
  <si>
    <t>2f</t>
  </si>
  <si>
    <t>Renewables trade price cap</t>
  </si>
  <si>
    <t>US$113/MWh</t>
  </si>
  <si>
    <t>Furthermore, large energy users (demand &gt; 300kW) are obliged to reach these targets individually, or pay a penalty. The price of tradable renewable electricity is capped at US$113/MWh.</t>
  </si>
  <si>
    <t>2g</t>
  </si>
  <si>
    <t>FiT solar PV energy</t>
  </si>
  <si>
    <t>Solar PV FiT</t>
  </si>
  <si>
    <t>$0.9/kWh (15 year period)</t>
  </si>
  <si>
    <t>since 2006</t>
  </si>
  <si>
    <t>2h</t>
  </si>
  <si>
    <t>FiT non-solar renewable energy</t>
  </si>
  <si>
    <t>Other renewables FiT</t>
  </si>
  <si>
    <t>$0.015/kWh (15 year period)</t>
  </si>
  <si>
    <t>2i</t>
  </si>
  <si>
    <t>Tax relief for renewables</t>
  </si>
  <si>
    <t>Period of tax reliefs</t>
  </si>
  <si>
    <t>10 years</t>
  </si>
  <si>
    <t xml:space="preserve">The law provides a series of tax benefits to new renewable projects (accelerated amortization in income tax, income tax relief in profits re-invested in renewables, VAT refund, fiscal certificates, feed-in tariffs etc.) over a period of 10 years. Tax exemption on distribution of dividents, if money invested in infrastructure development (10%); •Accelerated amortization in income tax for those assets or infrastructure works included in the investment project (60% of period for projects registered after 2017, and 50% for those after 2016); •The importation of capital goods or any other special equipment which is necessary for the project will be exempt of import tax and any other related tax (excluding service fees).; •The beneficiaries of this regime that can prove that 60% -or a lower percentage in special situations- of the electromechanical installations -excluding civil works- are manufactured in Argentina will be entitled to receive, as an additional benefit, a tax certificate to be used for the payment of national taxes, of a value equivalent to 20% of the national component of the electromechanical equipment -excluding civil works-.; •Losses, interest and exchange differences arising from the financing of the project may be deducted for income tax purposes.; </t>
  </si>
  <si>
    <t>15 years</t>
  </si>
  <si>
    <t>National Program for Rational and Efficient Use of Energy (PRONUREE) Argentina 2007</t>
  </si>
  <si>
    <t>7c</t>
  </si>
  <si>
    <t>Electricity consumption reduction</t>
  </si>
  <si>
    <t>Electricity consumption decrease</t>
  </si>
  <si>
    <t>Use of biomass in electricity production</t>
  </si>
  <si>
    <t>PROBIOMASA: Project for the Promotion of Energy from Biomass Argentina 2013</t>
  </si>
  <si>
    <t>200MW</t>
  </si>
  <si>
    <t>Use of biomass in heat production</t>
  </si>
  <si>
    <t>Law 26.473 Prohibiting commercialisation of incandescent light bulbs Argentina 2010</t>
  </si>
  <si>
    <t>Ban on commercialization of incandescent light bulbs</t>
  </si>
  <si>
    <t>since end 2010</t>
  </si>
  <si>
    <t>Sustainable use of native forests</t>
  </si>
  <si>
    <t>Law 26.331 for the Environmental Protection of Native Forests Argentina 2007</t>
  </si>
  <si>
    <t>Fine for non-compliance</t>
  </si>
  <si>
    <t>300-10.000 base salaries</t>
  </si>
  <si>
    <t xml:space="preserve">Law 26.331 establishing minimum standards and objectives for protection and restoration, and sustainable management of forests. In that sense, through this law, owners of forest areas receive financial incentives to preserve and sustainably manage the forest. For this purpose, the National Fund for the Enrichment and Conservation of Native Forests has been established through this law. Regulatory frame to control the reduction of native forest surface and achieve lasting surface over time </t>
  </si>
  <si>
    <t>Large-scale renewables production target</t>
  </si>
  <si>
    <t>Renewable Energy Amendment Act 2015</t>
  </si>
  <si>
    <t>Large-scale renewables electricity production target</t>
  </si>
  <si>
    <t> 33,000 GWh</t>
  </si>
  <si>
    <t>Share of renewables in electricity generation</t>
  </si>
  <si>
    <t>Required share of the LRET (Large Renewable Energy Technology)</t>
  </si>
  <si>
    <t>Renewable Energy (Electricity) Act 2000 and associated legislation</t>
  </si>
  <si>
    <t>increasing from 11.11 per cent in 2015</t>
  </si>
  <si>
    <t>Required share of SRES (Small Renewable Energy Sources)</t>
  </si>
  <si>
    <t>decreasing from 11.71 per cent in 2015</t>
  </si>
  <si>
    <t>Charge for not meeting the renewables share</t>
  </si>
  <si>
    <t>Non-compliance rate of charge</t>
  </si>
  <si>
    <t>$65/MWh</t>
  </si>
  <si>
    <t>Under the Act, wholesale purchasers of electricity (the ‘liable entities’) are required to meet a share of the LRET (Large Renewable Energy Technology) and SRES (Small Renewable Energy Sources) in proportion to their share of the national wholesale electricity market. The Act provides for the creation of large-scale generation certificates (LGCs) from accredited renewable energy power stations and the creation of small-scale technology certificates (STCs) from eligible solar water heaters and small generation unit installations.</t>
  </si>
  <si>
    <t>Funds for emissions reductions</t>
  </si>
  <si>
    <t>Emissions Reduction Fund Australia 2014</t>
  </si>
  <si>
    <t>$2.55 billion</t>
  </si>
  <si>
    <t>This amount was provided when establishing the fund and more will be allocated over timeThe Clean Energy Regulator will issue one Australian Carbon Credit Unit for each tonne of emissions reductions delivered under a method. Credits can then be sold to the Government through a reverse auction. The first auction under the Fund was held in April 2015, and successfully purchased over 47 million tonnes of abatement at an average price of AU$13.95. The Government has provided $2.55 billion to establish the Emissions Reduction Fund, with further funding to be considered in future budgets.</t>
  </si>
  <si>
    <t>Increase energy productivity</t>
  </si>
  <si>
    <t>Energy Productivity Plan</t>
  </si>
  <si>
    <t>Energy productivity increase (GDP($M)/PJ)</t>
  </si>
  <si>
    <t xml:space="preserve">Funding CCS </t>
  </si>
  <si>
    <t>CCS Flagships Programme Australia 2009</t>
  </si>
  <si>
    <t>Investmets in CCS</t>
  </si>
  <si>
    <t> $125 million</t>
  </si>
  <si>
    <t>The Australian Government has confirmed funding of over $125 million in its May 2014 Budget to allow the South West hub and CarbonNet projects to complete their stage gated commitments. The Education Investment Fund (EIF) provides $100 million to fund the research infrastructure component for short-listed projects. This requires partnering with an eligible research institution, such as universities, for collaborative research into CCS.</t>
  </si>
  <si>
    <t>Fuel taxes</t>
  </si>
  <si>
    <t>Fuel Tax Reform</t>
  </si>
  <si>
    <t>Fuel tax</t>
  </si>
  <si>
    <t>up to $ 0.4/liter</t>
  </si>
  <si>
    <t>Around $ 0.4/liter for diesel and gasoline and $ 0.013/liter for biodiesel.</t>
  </si>
  <si>
    <t>Planting trees</t>
  </si>
  <si>
    <t>20 Million Trees Australia</t>
  </si>
  <si>
    <t>Planted trees target</t>
  </si>
  <si>
    <t>20 million</t>
  </si>
  <si>
    <t>HFC emissions reduction</t>
  </si>
  <si>
    <t>HFC emissions reduction target Australia 2016</t>
  </si>
  <si>
    <t>Planned</t>
  </si>
  <si>
    <t>Renewable (incl. hydro) share in primary energy</t>
  </si>
  <si>
    <t>This policy instrument is implemented to ensure achieving the REN electricity target from the expansion plan</t>
  </si>
  <si>
    <t xml:space="preserve">The auctions in Brazil have been successful in contracting significant capacity of RE-based electricity. RET have gone through substantial cost reductions, especially wind, which has emerged as the fastest growing technology and is now reaching a mature domestic industry. Compliance rules have been incorporated but the Brazilian Association of Wind Power (Abeeolica) has expressed concerns that lower return margins could mean that projects remain vulnerable to complications that could arise during construction because of underbidding (Ernst and Young, 2012b). </t>
  </si>
  <si>
    <t>7%/10%</t>
  </si>
  <si>
    <t>Anyhdrous Bio-ethanol share in gasoline C</t>
  </si>
  <si>
    <t>Fuel efficiency (MJ/km)</t>
  </si>
  <si>
    <t>2.07 MJ/km is fuel efficiency in 2012. According to ICCT (2015) the expected improvment is 12% until 2027</t>
  </si>
  <si>
    <t>http://www.theicct.org/sites/default/files/publications/ICCTupdate_Brazil_InovarAuto_feb2013.pdf</t>
  </si>
  <si>
    <t>Fuel efficiency (km/l)</t>
  </si>
  <si>
    <t>Action plan Amazon</t>
  </si>
  <si>
    <t>Annural deforestation rate</t>
  </si>
  <si>
    <t>average 1996-2005</t>
  </si>
  <si>
    <t>See (WRI, 2013) for details, baseline not specified</t>
  </si>
  <si>
    <t>20.9% reduction</t>
  </si>
  <si>
    <t>Forest Code</t>
  </si>
  <si>
    <t xml:space="preserve">Forest Code (Law 12651) Brazil 2012 </t>
  </si>
  <si>
    <t>Implementation through action plans Amazon/Cerrados</t>
  </si>
  <si>
    <t>1c</t>
  </si>
  <si>
    <t>Action plan Cerrados</t>
  </si>
  <si>
    <t>3.9% reduction</t>
  </si>
  <si>
    <t>BAU (325 MtCO2eq)</t>
  </si>
  <si>
    <t>Light for all</t>
  </si>
  <si>
    <t>Light for all (Luz para Todos)</t>
  </si>
  <si>
    <t>Electrification (%-population)</t>
  </si>
  <si>
    <t>GHG reductions are estimated at 3,100 kt of CO2 emissions in 2020, and 24,300 Kt in 2030, relative to 2005 levels. The regulations are projected to result in a net reduction of approximately 214 Mt CO2 eq of GHG over the period 2015–2035</t>
  </si>
  <si>
    <t>2nd biennial report (annex)</t>
  </si>
  <si>
    <t>http://www.theicct.org/sites/default/files/info-tools/pvstds/Canada_PVstds-facts_jan2015.pdf</t>
  </si>
  <si>
    <t>Estimated mitigation impact 2020: 6,500 kt CO2eq (2nd biennial report). Probably ends in 2016: The ecoENERGY Efficiency program is investing $195 million between 2011 and 2016 to improve energy efficiency in Canada—at home, at work, and on the road. (NatCom). But: The estimated mitigation impact of 6,500 kt in 2020 only includes energy efficiency impacts associated with policies and measures that occurred since Canada’s 5th National Communication and associated in-depth review in 2011. This figure does not include the estimated mitigation impact of 44,750 kt in 2020 resulting from energy efficiency standards published prior to 2011.</t>
  </si>
  <si>
    <t>3b</t>
  </si>
  <si>
    <t>ENERGY STAR for New Homes Canada 2005</t>
  </si>
  <si>
    <t>ecoENERGY for Renewable Power program</t>
  </si>
  <si>
    <t xml:space="preserve">EcoENERGY for Renewable Power Canada 2007 </t>
  </si>
  <si>
    <t>subsidy for low-impact renewable energy</t>
  </si>
  <si>
    <t>1 cent per kWh</t>
  </si>
  <si>
    <t>The program offers an incentive of 1¢ per kilowatt-hour of electricity produced over a period of ten years from a qualifying low-impact renewable energy project built before March 31, 2011.</t>
  </si>
  <si>
    <t>emissions reduction in 2020</t>
  </si>
  <si>
    <t>6,240 ktCO2eq</t>
  </si>
  <si>
    <t>Estimated mitigation impact (for bioethanol and biodiesel together) 2020: 4,000 kt CO2eq (2nd biennial report)</t>
  </si>
  <si>
    <t>Clean Energy Fund</t>
  </si>
  <si>
    <t xml:space="preserve">Clean Energy Fund - Renewable Energy and Clean Energy Systems Demonstration Projects Canada 2009 </t>
  </si>
  <si>
    <t>2800 kt CO2eq / year</t>
  </si>
  <si>
    <t>The Government of Canada has allocated $317.6 million over five years (2009/10–2013/14) for the demonstration of promising technologies, including largescale carbon capture and storage projects, and renewable energy and clean energy systems demonstration and research and development projects. The Fund is expected to result in emissions reductions of up to 2,800 kt CO2 eq per year from 2015 to 2025, and possibly beyond.</t>
  </si>
  <si>
    <t>National Energy Code of Canada for Buildings Canada 1997 &amp; EcoENERGY Efficiency program</t>
  </si>
  <si>
    <t>http://www.iea.org/beep/canada/codes/national-energy-code-of-canada-for-buildings-2011.html</t>
  </si>
  <si>
    <t>Implemented/planned</t>
  </si>
  <si>
    <t>Estimated mitigation impact 2020: 366 ktCO2eq (2nd biennial report)</t>
  </si>
  <si>
    <t>New vessels of 400 gross tonnage and above: meet Energy Efficiency Design Index that will increase energy efficiency by 30% by 2025. International, not domestic shipping</t>
  </si>
  <si>
    <t>National Plan For Tackling Climate Change 2014-2020 China 2014</t>
  </si>
  <si>
    <t>Non-fossil fuels in primary energy</t>
  </si>
  <si>
    <t>Share of non-fossil fuels in primary energy consumption</t>
  </si>
  <si>
    <t>Enforced by Renewable Energy Act (Legislative) China 2006</t>
  </si>
  <si>
    <t>1d</t>
  </si>
  <si>
    <t>Nuclear capacity target</t>
  </si>
  <si>
    <t>Energy Development Strategy Action Plan (2014-2020) China 2014</t>
  </si>
  <si>
    <t>Installed Nuclear capacity</t>
  </si>
  <si>
    <t>Hydroenergy capacity target</t>
  </si>
  <si>
    <t>350 GW</t>
  </si>
  <si>
    <t>Wind capacity target</t>
  </si>
  <si>
    <t>200 GW</t>
  </si>
  <si>
    <t>Biomass capacity target</t>
  </si>
  <si>
    <t>Installed biomass capacity</t>
  </si>
  <si>
    <t>30 GW</t>
  </si>
  <si>
    <t>Solar PV capacity target</t>
  </si>
  <si>
    <t>Instlled Solar PV capacity</t>
  </si>
  <si>
    <t>100 GW</t>
  </si>
  <si>
    <t>Coal consumption cap</t>
  </si>
  <si>
    <t>Share of non-fossil fuel in primary energy mix</t>
  </si>
  <si>
    <t>2j</t>
  </si>
  <si>
    <t>Share of gas in primary energy mix</t>
  </si>
  <si>
    <t>above 10% (185 billion cubic meters annually)</t>
  </si>
  <si>
    <t>2k</t>
  </si>
  <si>
    <t>Share of coal in primary energy mix</t>
  </si>
  <si>
    <t>2l</t>
  </si>
  <si>
    <t>Domestic energy (self-sufficiency)</t>
  </si>
  <si>
    <t>Wind power feed-in tariffs (onshore)</t>
  </si>
  <si>
    <t>2012 Renewable Energy Electricity feed-in tariff China 2012</t>
  </si>
  <si>
    <t>feed-in tariff for onshore wind power</t>
  </si>
  <si>
    <t>0.47, 0.60 yuan/kwh (depending on region)</t>
  </si>
  <si>
    <t>2009-</t>
  </si>
  <si>
    <t>Wind power feed-in tariffs (offshore)</t>
  </si>
  <si>
    <t>feed-in tariff for offshore wind power</t>
  </si>
  <si>
    <t>0.75, 0.85 yuan/kwh ( inter-tidal zone / offshore wind power)</t>
  </si>
  <si>
    <t>3c</t>
  </si>
  <si>
    <t>Subsity and feed-in tariff for solar PV</t>
  </si>
  <si>
    <t>subsity for distributed PV power</t>
  </si>
  <si>
    <t>0.42 yuan/kwh + local subsity (different among the provinces)</t>
  </si>
  <si>
    <t>3d</t>
  </si>
  <si>
    <t>feed-in tariff for PV power station</t>
  </si>
  <si>
    <t>0.80, 0.88, 0.98 yuan/kwh (3 regions)</t>
  </si>
  <si>
    <t>Plan for energy saving and new energy vehicles</t>
  </si>
  <si>
    <t>Energy saving and new energy automotive industry development plan 2012-2020</t>
  </si>
  <si>
    <t>accumulated amount of pure electric and plug-in vehicles</t>
  </si>
  <si>
    <t>5 million</t>
  </si>
  <si>
    <t>Energy saving and new energy automotive industry development plan 2012-2021</t>
  </si>
  <si>
    <t>supply capacity of pure electric and plug-in vehicles</t>
  </si>
  <si>
    <t>Energy saving and new energy automotive industry development plan 2012-2022</t>
  </si>
  <si>
    <t>Target fuel consumption of new passenger vehicles and the equivalent CO2 emissions</t>
  </si>
  <si>
    <t>Subsity for new energy vehicles</t>
  </si>
  <si>
    <t>Management of Subsity Fund of Private New Energy Vehicles (Interim)</t>
  </si>
  <si>
    <t>3000 yuan per kwh (according to the energy of power battery), at most 60,000 yuan for pure electric cars and 50,000 yuan for plug-in cars; and decreasing gradually</t>
  </si>
  <si>
    <t>2010-</t>
  </si>
  <si>
    <t>Light-duty vehicles fuel consumption</t>
  </si>
  <si>
    <t>Vehicle Fuel Economy Standards China 2005</t>
  </si>
  <si>
    <t>Fuel consumption limits for light-duty vehicles</t>
  </si>
  <si>
    <t>6.9L/100km</t>
  </si>
  <si>
    <t>Heavy-duty vehicles fuel consumption</t>
  </si>
  <si>
    <t>Fuel consumption limits for heavy-duty vehicles</t>
  </si>
  <si>
    <t>Industrial Energy Performance Standards China 2007</t>
  </si>
  <si>
    <t>Cement industry performance (kgce/t)</t>
  </si>
  <si>
    <t>since 2007/2008</t>
  </si>
  <si>
    <t>Steel industry performance (kgce/t)</t>
  </si>
  <si>
    <t>8c</t>
  </si>
  <si>
    <t>Coke industry performance (kgce/t)</t>
  </si>
  <si>
    <t>8d</t>
  </si>
  <si>
    <t>9a</t>
  </si>
  <si>
    <t>13th Five-Year Plan (2016-2020)</t>
  </si>
  <si>
    <t>9b</t>
  </si>
  <si>
    <t>Cap on total energy consumption</t>
  </si>
  <si>
    <t>National Building Energy Standard China 2008</t>
  </si>
  <si>
    <t>11a</t>
  </si>
  <si>
    <t>Made in China 2025</t>
  </si>
  <si>
    <t>11b</t>
  </si>
  <si>
    <t>12a</t>
  </si>
  <si>
    <t>Medium and Long Term Development Plan for Renewable Energy China 2007</t>
  </si>
  <si>
    <t>12b</t>
  </si>
  <si>
    <t>Forest cover target</t>
  </si>
  <si>
    <t>9c</t>
  </si>
  <si>
    <t>Forest coverage</t>
  </si>
  <si>
    <t>9d</t>
  </si>
  <si>
    <t>High emissions vehicles to be removed</t>
  </si>
  <si>
    <t>4 million</t>
  </si>
  <si>
    <t>European Union</t>
  </si>
  <si>
    <t>Emissions reduction target (2030)</t>
  </si>
  <si>
    <t>Emissions reduction target (2020)</t>
  </si>
  <si>
    <t>2020 Climate and Energy Package European Union 2009</t>
  </si>
  <si>
    <t>GHG emissions reduction (incl LULUCF)</t>
  </si>
  <si>
    <t>Renewables share target (2020)</t>
  </si>
  <si>
    <t>Share of renewables in energy consumption</t>
  </si>
  <si>
    <t>Energy efficiency target (2020)</t>
  </si>
  <si>
    <t>2030 framework for climate and energy policies (strategic document) European Union 2014</t>
  </si>
  <si>
    <t>at least 40%</t>
  </si>
  <si>
    <t>Renewables share target (2030)</t>
  </si>
  <si>
    <t>at least 27%</t>
  </si>
  <si>
    <t>Energy efficiency target (2030)</t>
  </si>
  <si>
    <t>Transport carbon emissions</t>
  </si>
  <si>
    <t>Roadmap to a single European transport area</t>
  </si>
  <si>
    <t>Transport carbon emissions reduction target</t>
  </si>
  <si>
    <t>New light commercial vehicles CO2 emissions limits</t>
  </si>
  <si>
    <t>Emission performance standards for new light commercial vehicles (Regulation (EU) No. 510/2011 European Union 2011)</t>
  </si>
  <si>
    <t>175 g CO2/km</t>
  </si>
  <si>
    <t>147 g CO2/km</t>
  </si>
  <si>
    <t>New passanger vehicles CO2 emissions limits</t>
  </si>
  <si>
    <t>Emission performance standards for new passenger cars (Regulation (EC) No. 443/2009</t>
  </si>
  <si>
    <t>120 g CO2/km</t>
  </si>
  <si>
    <t>5b</t>
  </si>
  <si>
    <t>95 g CO2/km</t>
  </si>
  <si>
    <t>From 2020 onwards, this Regulation sets a target of 95 g CO2/km as average emissions for the new car fleet</t>
  </si>
  <si>
    <t>Companies energy efficiency target</t>
  </si>
  <si>
    <t>Energy efficiency (Directive 2012/27/EU on Energy efficiency, amending Directives 2009/125/EC and 2010/30/EU and repealing Directives 2004/8/EC and 2006/32/EC) European Union 2012</t>
  </si>
  <si>
    <t>The directive aims to support the 2020 Climate and Energy Package target of 20% energy efficiency increase by 2020.</t>
  </si>
  <si>
    <t>ETS annual allowances</t>
  </si>
  <si>
    <t>Revision of the EU Emission Trading System (EU ETS) (Directive 2009/29/EC amending Directive 2003/87/EC)</t>
  </si>
  <si>
    <t>Annual decrease of allowances</t>
  </si>
  <si>
    <t>Non-CO2 emissions reductions (2030)</t>
  </si>
  <si>
    <t>Fluorinated greenhouse gases (Regulation No. 517/2014 on fluorinated greenhouse gases and repealing Regulation (EC) No 842/2006) European Union 2014</t>
  </si>
  <si>
    <t>Reduction in non-CO2 emissions, including fluorinated greenhouse gases but excluding non-CO2 emissions from agriculture</t>
  </si>
  <si>
    <t>72%-73%</t>
  </si>
  <si>
    <t>The use of sulphur hexafluoride to fill vehicle tyres shall be prohibited. From 1 January 2020, the use of fluorinated greenhouse gases, with a global warming potential of 2 500 or more, to service or maintain refrigeration equipment with a charge size of 40 tonnes of CO2 equivalent or more, shall be prohibited.</t>
  </si>
  <si>
    <t>Non-CO2 emissions reductions (2050)</t>
  </si>
  <si>
    <t>70%-78%</t>
  </si>
  <si>
    <t>Biofuel target</t>
  </si>
  <si>
    <t>Directive 2009/28/EC Biofuel target European Union 2009</t>
  </si>
  <si>
    <t>Share of renewables in transport energy</t>
  </si>
  <si>
    <t>Fuel life cycle greenhouse gas emissions reduction</t>
  </si>
  <si>
    <t>Fuel Quality (Directive 2009/30/EC)</t>
  </si>
  <si>
    <t>Life cycle emissions reduction per unit of energy</t>
  </si>
  <si>
    <t>This reduction should amount to at least 6 % by 31 December 2020, compared to the EU-average level of life cycle greenhouse gas emissions per unit of energy from fossil fuels in 2010, obtained through the use of biofuels, alternative fuels and reductions in flaring and venting at production sites. Subject to a review, it should comprise a further 2 % reduction obtained through the use of environmentally friendly carbon capture and storage technologies and electric vehicles and an additional further 2 % reduction obtained through the purchase of credits under the Clean Development Mechanism of the Kyoto Protocol.</t>
  </si>
  <si>
    <t>10b</t>
  </si>
  <si>
    <t>Ethanol content in petrol</t>
  </si>
  <si>
    <t>Allowed ethanol content in petrol</t>
  </si>
  <si>
    <t>To avoid potential damage to old cars, continued marketing of petrol containing maximum 5% ethanol guaranteed until 2013, with the possibility of an extension to that date if needed.</t>
  </si>
  <si>
    <t>10c</t>
  </si>
  <si>
    <t>Ethanol content in diesel</t>
  </si>
  <si>
    <t>Allowed biodiesel content in diesel</t>
  </si>
  <si>
    <t>New buildings near-zero</t>
  </si>
  <si>
    <t>Directive 2010/31/EU on the energy performance of buildings European Union 2010</t>
  </si>
  <si>
    <t>all</t>
  </si>
  <si>
    <t>Public buildings near-zero</t>
  </si>
  <si>
    <t>Biofuel production emissions standards</t>
  </si>
  <si>
    <t>Directive (EU) 2015/1513 amending Directive 98/70/EC relating to the quality of petrol and diesel fuels</t>
  </si>
  <si>
    <t>GHG savings from biofuel produced in new installatons (after Oct 2015)</t>
  </si>
  <si>
    <t>GHG savings from biofuel produced in old installations (before Oct 2015)</t>
  </si>
  <si>
    <t>In the case of installations that were in operation on or before 5 October 2015, for the purposes referred to in paragraph 1, biofuels shall achieve a greenhouse gas emission saving of at least 35 % until 31 December 2017 and at least 50 % from 1 January 2018.</t>
  </si>
  <si>
    <t>12c</t>
  </si>
  <si>
    <t>Reducing use of petrol and diesel cars</t>
  </si>
  <si>
    <t>Reduction of use of petrol and diesel cars in cities</t>
  </si>
  <si>
    <t>Low-carbon public transport</t>
  </si>
  <si>
    <t>CO2 free mobility in cities</t>
  </si>
  <si>
    <t>3e</t>
  </si>
  <si>
    <t>Low-carbon air transport</t>
  </si>
  <si>
    <t>Share of low-carbon sustainable fuels in air transport</t>
  </si>
  <si>
    <t>3f</t>
  </si>
  <si>
    <t>Low-carbon shipping</t>
  </si>
  <si>
    <t>3g</t>
  </si>
  <si>
    <t>Shipping transport switch to rail or waterborne</t>
  </si>
  <si>
    <t>3h</t>
  </si>
  <si>
    <t xml:space="preserve">National Policy on Biofuels India 2009 </t>
  </si>
  <si>
    <t xml:space="preserve">Blending of ethanol with petrol (mandatory 2007)
</t>
  </si>
  <si>
    <t xml:space="preserve">Blending of ethanol with petrol (mandatory 2008)
</t>
  </si>
  <si>
    <t xml:space="preserve">10%
</t>
  </si>
  <si>
    <t xml:space="preserve">Blending of biofuels (biodiesel and bioethanol, indicative target 2017)
</t>
  </si>
  <si>
    <t xml:space="preserve">20%
</t>
  </si>
  <si>
    <t xml:space="preserve">Emissions mitigated 2005-2030 (MtCO2e) bioethanol
</t>
  </si>
  <si>
    <t xml:space="preserve">107
</t>
  </si>
  <si>
    <t xml:space="preserve">2030
</t>
  </si>
  <si>
    <t>Emissions mitigated 2005-2030 (MtCO2e) biodiesel</t>
  </si>
  <si>
    <t xml:space="preserve">Perform, Achieve, Trade (PAT) Scheme India 2011 </t>
  </si>
  <si>
    <t xml:space="preserve">National Electric Mobility Mission Plan 2020 </t>
  </si>
  <si>
    <t>Hybrid and electric vehicle sales</t>
  </si>
  <si>
    <t>15-16 million</t>
  </si>
  <si>
    <t>There is an ambitious target to achieve 6-7 million sales of hybrid and electric vehicles year on year from 2020 onwards. With the support from the Government, the cumulative sale is expected to reach 15-16 Million by 2020. It is expected to save 9500 Million Liters of crude oil equivalent to Rs. 62000 Cr. savings</t>
  </si>
  <si>
    <t>Crude oil use</t>
  </si>
  <si>
    <t>save 9500 million liters</t>
  </si>
  <si>
    <t>Renewable Capacity targets 2022 - Solar (National solar energy mission)</t>
  </si>
  <si>
    <t xml:space="preserve">National Solar Mission (Phase I and II) India 2010 </t>
  </si>
  <si>
    <t>20 GW</t>
  </si>
  <si>
    <t>100 GW by 2022 and stable at same level until 2030</t>
  </si>
  <si>
    <t>National Wind Mission India</t>
  </si>
  <si>
    <t>38.5 GW</t>
  </si>
  <si>
    <t>60 GW by 2022 and stable at same level until 2030</t>
  </si>
  <si>
    <t>Twelfth Five Year Plan (2012–2017): Faster, More Inclusive and Sustainable Growth India 2013</t>
  </si>
  <si>
    <t>Vehicle energy consumption standards India 2014</t>
  </si>
  <si>
    <t>130 gCO2/km</t>
  </si>
  <si>
    <t>113 gCO2/km</t>
  </si>
  <si>
    <t>Renewable capacity targets 2022 - other (biomass and small hydro)</t>
  </si>
  <si>
    <t>Government Assistance for Small Hydropower Stations India 2003  &amp;
Central Financial Assistance (CFA) for Biogas Plants India 2004</t>
  </si>
  <si>
    <t>5 GW small hydro</t>
  </si>
  <si>
    <t>http://mnre.gov.in/file-manager/UserFiles/Tentative-State-wise-break-up-of-Renewable-Power-by-2022.pdf</t>
  </si>
  <si>
    <t>Other renewables 15 GW (together with 100 GW solar and 60 GW wind: total 175 GW renewables), including 10 GW biomass and 5 GW small hydro. For the 15 GW: stable at same level after 2022</t>
  </si>
  <si>
    <t>6-7 million</t>
  </si>
  <si>
    <t>Renewable Portfolio Standard (PAT scheme) (cycle II)</t>
  </si>
  <si>
    <t>60 GW</t>
  </si>
  <si>
    <t xml:space="preserve">15 GW (10 GW Biomass, 5 GW small hydro) </t>
  </si>
  <si>
    <t xml:space="preserve">National Green India Mission (GIM) </t>
  </si>
  <si>
    <t>Increase in forest/tree cover</t>
  </si>
  <si>
    <t>5 million ha</t>
  </si>
  <si>
    <t>GHG Emissions (forestry sector)</t>
  </si>
  <si>
    <t>13 MtCO2e reduction</t>
  </si>
  <si>
    <t>Green Highways (Plantation, Transplantation, Beautification &amp; Maintenance) Policy-2015 India</t>
  </si>
  <si>
    <t>2 MtCO2e reduction</t>
  </si>
  <si>
    <t>http://pib.nic.in/newsite/mbErel.aspx?relid=126427 &amp; http://www.thehindu.com/news/national/govt-launches-green-highways-policy/article7702950.ece</t>
  </si>
  <si>
    <t>TPES new and renewable energy (incl. nuclear)</t>
  </si>
  <si>
    <t>Share of gas import of total TPES</t>
  </si>
  <si>
    <t>New and renewable electricity consumption share (incl. nuclear)</t>
  </si>
  <si>
    <t>Electrification rate</t>
  </si>
  <si>
    <t>http://www.iea.org/policiesandmeasures/pams/indonesia/name-43000-en.php</t>
  </si>
  <si>
    <t>http://www.hhp.co.id/files/Uploads/Documents/Type%202/HHP/al_jakarta_geothermaltariffsrevised_jun14.pdf</t>
  </si>
  <si>
    <t xml:space="preserve">Energy efficiency labeling Program Indonesia 2009 </t>
  </si>
  <si>
    <t>Forest Law Enforcement National Strategy (FLENS) Indonesia 2005</t>
  </si>
  <si>
    <t>Eco-car financial incentives</t>
  </si>
  <si>
    <t>Eco-Car Tax Break and Subsidies for Vehicles Japan 2009</t>
  </si>
  <si>
    <t>Yen 15mil. In 2016 (Yen 160.000 per unit), down by Yen 5mil. from 2015</t>
  </si>
  <si>
    <t>The tax relief applies to the automobile weight tax and the acquisition tax.</t>
  </si>
  <si>
    <t>Tax breaks on automobile weight tax and acquisition tax</t>
  </si>
  <si>
    <t>Fuel efficiency standards</t>
  </si>
  <si>
    <t>Fuel Efficiency Standards for Vehicles - Top Runner Program Japan 1979</t>
  </si>
  <si>
    <t>Fuel consumption (km/L)</t>
  </si>
  <si>
    <t>Environment-related vehicle tax</t>
  </si>
  <si>
    <t>Environmet-related tax on vehicle Japan</t>
  </si>
  <si>
    <t>Tax (JPY/year)</t>
  </si>
  <si>
    <t>Automobile Tax Example: Passenger and Private Cars, Total emissions of 1.5-2 litres, JPY 39,500/year; Light Vehicle Tax Example: Light Vehicle and Private Car, JPY 7,200/year</t>
  </si>
  <si>
    <t>Tax (% car value)</t>
  </si>
  <si>
    <t>Automobile Acquisition Tax: Private Car - 5% of acquisition price; Car for Business and Light Vehicle - 3% of acquisition price</t>
  </si>
  <si>
    <t>Fossil fuel tax (crude oil)</t>
  </si>
  <si>
    <t>Act Partially Amending the Law on Special Tax Measures (Tax Reform Act 2012) (Law No. 16 of 2012) Japan 2012</t>
  </si>
  <si>
    <t>Crude oil tax (JPY/kl)</t>
  </si>
  <si>
    <t>JPY 2,040/kl + JPY 760/kl  (added climate mitigation tax)</t>
  </si>
  <si>
    <t>Fossil fuel tax (gasous hydrocarbons)</t>
  </si>
  <si>
    <t>Gasous hydrocarbons(JPY/kl)</t>
  </si>
  <si>
    <t xml:space="preserve"> JPY 1,080/t + JPY 780/t (added climate mitigation tax)</t>
  </si>
  <si>
    <t>Fossil fuel tax (coal)</t>
  </si>
  <si>
    <t>Coal tax (JPY/kl)</t>
  </si>
  <si>
    <t xml:space="preserve"> JPY 700/t + JPY 670/t  (added climate mitigation tax)</t>
  </si>
  <si>
    <t>Industrial efficiency standard</t>
  </si>
  <si>
    <t>Law Concerning the Rational Use of Energy (Energy Conservation Act) (Law No.49 of 1979) Japan 1979</t>
  </si>
  <si>
    <t>Eergy consumption reduction</t>
  </si>
  <si>
    <t>Non-compliance fine</t>
  </si>
  <si>
    <t xml:space="preserve">JPY 1million if 1% annual energy efficiency target (above) not met </t>
  </si>
  <si>
    <t>Renewable energy tax</t>
  </si>
  <si>
    <t>Act on Purchase of Renewable Energy Sourced Electricity by Electric Utilities (Law No. 108 of 2011) Japan 2012</t>
  </si>
  <si>
    <t>Tax for renewable energy  consumption</t>
  </si>
  <si>
    <t>JPY 2.25/ kWh (year 2016)</t>
  </si>
  <si>
    <t>This tax applies to electricity consumers (both large and small).</t>
  </si>
  <si>
    <t>Onshore wind energy FiT</t>
  </si>
  <si>
    <t>Act on Purchase of Renewable Energy Sourced Electricity by Electric Utilities (Law No. 108 of 2011) Japan 2013</t>
  </si>
  <si>
    <t>Renewables FiT</t>
  </si>
  <si>
    <t>JPY 22/kWh (&gt;20kW); JpY 55/kWh (&lt;20kW)</t>
  </si>
  <si>
    <t>It requires electric utility operators to purchase all the renewable electricity generated from most of the renewable energy sources (solar, onshore and offshore wind, geothermal, biomass, and hydro smaller than 30 MW).</t>
  </si>
  <si>
    <t>Offshore wind energy FiT</t>
  </si>
  <si>
    <t>Act on Purchase of Renewable Energy Sourced Electricity by Electric Utilities (Law No. 108 of 2011) Japan 2014</t>
  </si>
  <si>
    <t>JPY 36/kWh (&gt;20kW)</t>
  </si>
  <si>
    <t>7d</t>
  </si>
  <si>
    <t>Geothermal energy FiT</t>
  </si>
  <si>
    <t>Act on Purchase of Renewable Energy Sourced Electricity by Electric Utilities (Law No. 108 of 2011) Japan 2015</t>
  </si>
  <si>
    <t>JPY 26/kWh (&gt;150,000kW); JPY 40/kWh (&lt;150,0000kW)</t>
  </si>
  <si>
    <t>7e</t>
  </si>
  <si>
    <t>Small/Micro hydro energy FiT</t>
  </si>
  <si>
    <t>Act on Purchase of Renewable Energy Sourced Electricity by Electric Utilities (Law No. 108 of 2011) Japan 2016</t>
  </si>
  <si>
    <t>JPY 24/14 per kWh (1,000~30,000kW); JPY 29/21 kWh (200~1,000kW); 34/25 yen (&lt;200kW). Dependence: new facilities / existing river courses.</t>
  </si>
  <si>
    <t>7f</t>
  </si>
  <si>
    <t>Biomass (non-wood) energy FiT</t>
  </si>
  <si>
    <t>Act on Purchase of Renewable Energy Sourced Electricity by Electric Utilities (Law No. 108 of 2011) Japan 2017</t>
  </si>
  <si>
    <t>JPY 32/kWh (&gt;2,000kW); JPY 40/kWh (&lt;2,000kW)</t>
  </si>
  <si>
    <t>7g</t>
  </si>
  <si>
    <t>Biomass (wood)</t>
  </si>
  <si>
    <t>Act on Purchase of Renewable Energy Sourced Electricity by Electric Utilities (Law No. 108 of 2011) Japan 2018</t>
  </si>
  <si>
    <t xml:space="preserve">JPY 24/kWh (wood); JPY 13/kWh (wasted building wood materials);  </t>
  </si>
  <si>
    <t>7h</t>
  </si>
  <si>
    <t>Biomass (waste)</t>
  </si>
  <si>
    <t>Act on Purchase of Renewable Energy Sourced Electricity by Electric Utilities (Law No. 108 of 2011) Japan 2019</t>
  </si>
  <si>
    <t>JPY 17/ kWh (wastes);</t>
  </si>
  <si>
    <t>7i</t>
  </si>
  <si>
    <t>Biomass (biogas, methane)</t>
  </si>
  <si>
    <t>Act on Purchase of Renewable Energy Sourced Electricity by Electric Utilities (Law No. 108 of 2011) Japan 2020</t>
  </si>
  <si>
    <t>JPY 39/ kWh (biogas, methane)</t>
  </si>
  <si>
    <t>7j</t>
  </si>
  <si>
    <t>Solar PV reverse auction</t>
  </si>
  <si>
    <t>Act on Purchase of Renewable Energy Sourced Electricity by Electric Utilities (Law No. 108 of 2011) Japan 2021</t>
  </si>
  <si>
    <t>-</t>
  </si>
  <si>
    <t>Fuel tax (gasoline)</t>
  </si>
  <si>
    <t>Energy Tax on Fossil Fuels Japan 2002</t>
  </si>
  <si>
    <t>Gasoline tax</t>
  </si>
  <si>
    <t>JPY 53.8/l (gasoline tax + local gasoline excise tax)</t>
  </si>
  <si>
    <t>Fuel tax (oil and gas)</t>
  </si>
  <si>
    <t>Energy Tax on Fossil Fuels Japan 2003</t>
  </si>
  <si>
    <t>Oil and gas tax</t>
  </si>
  <si>
    <t xml:space="preserve">JPY 17.5/kg </t>
  </si>
  <si>
    <t>Fuel tax (diesel oil)</t>
  </si>
  <si>
    <t>Energy Tax on Fossil Fuels Japan 2004</t>
  </si>
  <si>
    <t>Diesel oil tax</t>
  </si>
  <si>
    <t>JPY 32.1/l</t>
  </si>
  <si>
    <t>Fuel tax (aviation fuel)</t>
  </si>
  <si>
    <t>Energy Tax on Fossil Fuels Japan 2005</t>
  </si>
  <si>
    <t>Aviation fuel tax</t>
  </si>
  <si>
    <t xml:space="preserve">JPY 26/l </t>
  </si>
  <si>
    <t>8e</t>
  </si>
  <si>
    <t>Sold electricity tax</t>
  </si>
  <si>
    <t>Energy Tax on Fossil Fuels Japan 2006</t>
  </si>
  <si>
    <t xml:space="preserve">Electric power development promotion tax </t>
  </si>
  <si>
    <t>JPY 375/MWh (electricity sold)</t>
  </si>
  <si>
    <t>To be paid for electricity sold, by general electricity utilities</t>
  </si>
  <si>
    <t>Energy efficiency target</t>
  </si>
  <si>
    <t>2030 Outlook for Energy Supply and Demand Japan 2005</t>
  </si>
  <si>
    <t xml:space="preserve">Implemented </t>
  </si>
  <si>
    <t>Energy use reduction</t>
  </si>
  <si>
    <t xml:space="preserve"> 10%, from 361 million kl crude oil equivalent (coe) in 2010 to 326 million kl coe in 2030</t>
  </si>
  <si>
    <t>Nuclear share target</t>
  </si>
  <si>
    <t>4th Strategic Energy Plan Japan 2014</t>
  </si>
  <si>
    <t>Nuclear share of power generation</t>
  </si>
  <si>
    <t>20%-22%</t>
  </si>
  <si>
    <t>Renewables share of power generation</t>
  </si>
  <si>
    <t>22%-24%</t>
  </si>
  <si>
    <t>11c</t>
  </si>
  <si>
    <t>Coal share target</t>
  </si>
  <si>
    <t>Coal share of power generation</t>
  </si>
  <si>
    <t>11d</t>
  </si>
  <si>
    <t>LNG share target</t>
  </si>
  <si>
    <t>LNG share of power generation</t>
  </si>
  <si>
    <t>11e</t>
  </si>
  <si>
    <t>Oil share target</t>
  </si>
  <si>
    <t>Oil share of power geeration</t>
  </si>
  <si>
    <t>Forest sink capacity target</t>
  </si>
  <si>
    <t>Basic Plan for Forest and Forestry Japan 2011</t>
  </si>
  <si>
    <t>Forest sink target (% emissions)</t>
  </si>
  <si>
    <t>3.5% reduction (44mil t CO2)</t>
  </si>
  <si>
    <t>GHG emissions (66% of total)</t>
  </si>
  <si>
    <t xml:space="preserve">This policy instrument covers 66% of GHG emissons.  </t>
  </si>
  <si>
    <t>GHG reductions</t>
  </si>
  <si>
    <t>Almost no emission reductions are expected in the short-term</t>
  </si>
  <si>
    <t>Building energy conservation code (BECC)</t>
  </si>
  <si>
    <t>7th Basic Plan for Long-Term Electricity Supply and Demand 2015-2029</t>
  </si>
  <si>
    <t>Building energy efficiency program (BEEP)</t>
  </si>
  <si>
    <t>Renewable Portfolio Standard (RPS) Korea (South) 2012</t>
  </si>
  <si>
    <t>Covers 90% of electricity production</t>
  </si>
  <si>
    <t>Number of PV systems in residential buildings</t>
  </si>
  <si>
    <t>Does not include a total installed capacity target</t>
  </si>
  <si>
    <t>Fuel efficiency standards for passenger vehicles</t>
  </si>
  <si>
    <t>km/l</t>
  </si>
  <si>
    <t>Building Energy Conservation code</t>
  </si>
  <si>
    <t xml:space="preserve">Building Energy Code (Building Standards - New Building) Korea (South) </t>
  </si>
  <si>
    <t>http://www.mdpi.com/2071-1050/7/12/15804</t>
  </si>
  <si>
    <t>Building Energy Efficiency Certification System</t>
  </si>
  <si>
    <t>http://www.kemco.or.kr/nd_file/kemco_eng/KoreaEnergyStandards&amp;Labeling.pdf</t>
  </si>
  <si>
    <t>No caps set, but based on 37% reduction target relative to BAU</t>
  </si>
  <si>
    <t>Building Energy Efficiency Certification System (BEECS)</t>
  </si>
  <si>
    <t>Final energy consumptions</t>
  </si>
  <si>
    <t>Backed by RPS</t>
  </si>
  <si>
    <t>Schuetze (2015)</t>
  </si>
  <si>
    <t>Renewable energy target (4th Renewable Basic Plan)</t>
  </si>
  <si>
    <t>14.3% reduction</t>
  </si>
  <si>
    <t>Peak demand</t>
  </si>
  <si>
    <t>12 % reduction</t>
  </si>
  <si>
    <t>Particular Matter Emissions Control Policy</t>
  </si>
  <si>
    <t>New &amp; Renewable Energy Use and Dissemination Program</t>
  </si>
  <si>
    <t>Development Restriction Zoning</t>
  </si>
  <si>
    <t>Deforestation reduction</t>
  </si>
  <si>
    <t>Light duty vehicles emissions limits</t>
  </si>
  <si>
    <t>Light Duty Vehicles CO2 Emissions Standards Mexico 2013</t>
  </si>
  <si>
    <t>CO2 emissions limits for light-duty vehicles</t>
  </si>
  <si>
    <t>between 163.6 gCO2/km (for cars covering a lower surface than 3.81m2) and 227.6 gCO2/km (for cars with a higher surface than 6.13m2).</t>
  </si>
  <si>
    <t>Emissions reduction (short term)</t>
  </si>
  <si>
    <t>Special Programme on Climate Change 2014-2018</t>
  </si>
  <si>
    <t>Planned (will be missed)</t>
  </si>
  <si>
    <t>Emissions reduction</t>
  </si>
  <si>
    <t>National Programme for Sustainable Use of Energy 2014-2018</t>
  </si>
  <si>
    <t>Energy intensity limit</t>
  </si>
  <si>
    <t>Depreciation for investments in clean energy</t>
  </si>
  <si>
    <t>Accelerated Depreciation for Investments with Environmental Benefits Mexico 2005</t>
  </si>
  <si>
    <t>up to 100% in first year</t>
  </si>
  <si>
    <t>Obtaining these tax deductions imposes that the project runs for at least 5 years.</t>
  </si>
  <si>
    <t>Transmission costs reduction for renewables</t>
  </si>
  <si>
    <t>Grid interconection contract for renewable energy (Contrato de interconexión para fuente de energía renovable) Mexico 2001</t>
  </si>
  <si>
    <t>Renewables transmission discounts</t>
  </si>
  <si>
    <t>50%-70%</t>
  </si>
  <si>
    <t>Resolution RES/140/2001 gives priority to renewables in grid interconnection and imposes discounts of 50% to 70% in transmission costs. Net metering is also possible.</t>
  </si>
  <si>
    <t>Oil production</t>
  </si>
  <si>
    <t>Energy Reform Package Mexico 2013</t>
  </si>
  <si>
    <t>Oil production target</t>
  </si>
  <si>
    <t>3 million barrels</t>
  </si>
  <si>
    <t>as compared to a current production value of 2.5 million</t>
  </si>
  <si>
    <t>3.5 million barrels</t>
  </si>
  <si>
    <t>6c</t>
  </si>
  <si>
    <t>Gas production</t>
  </si>
  <si>
    <t>Gas production target</t>
  </si>
  <si>
    <t>8000 million cubic feet</t>
  </si>
  <si>
    <t>current value of 5700 million cubic feet</t>
  </si>
  <si>
    <t>6d</t>
  </si>
  <si>
    <t>10400 million cubic feet</t>
  </si>
  <si>
    <t>Carbon tax on fossil fuel  production</t>
  </si>
  <si>
    <t>Carbon tax for fossil fuel production</t>
  </si>
  <si>
    <t>US$3.5/t</t>
  </si>
  <si>
    <t>Standards and limitations for flaring of natural gas</t>
  </si>
  <si>
    <t>Performance criteria and application for flaring and ventilation of natural gas (CNH.06.001/09)</t>
  </si>
  <si>
    <t>Allowed percentage of gas to be burnt or vented of what used to be burnt or vented on average over the past 3 years</t>
  </si>
  <si>
    <t>80% to 85% of the average of previous years (if it used to be &gt;2% to &lt;1% of production, respectively) or 95% otherwise</t>
  </si>
  <si>
    <t>since 2009</t>
  </si>
  <si>
    <t>Clean sources electricity target</t>
  </si>
  <si>
    <t>Energy Transition Law Mexico 2015</t>
  </si>
  <si>
    <t>Share of clean sources (emissions of below 100 kg/MWh) in electricity generation</t>
  </si>
  <si>
    <t>These targets can be partially mate (50%) through trading of Clean Energy Certificates (CECs). </t>
  </si>
  <si>
    <t>Sustainably harvested forest</t>
  </si>
  <si>
    <t>General Law for Sustainable Forest Development Mexico 2003</t>
  </si>
  <si>
    <t>Percentage of sustainably harvested forest resources</t>
  </si>
  <si>
    <t>from 31.6% in 2013</t>
  </si>
  <si>
    <t>Certified forests</t>
  </si>
  <si>
    <t>Forest areas certified under “good forest management practice”</t>
  </si>
  <si>
    <t>Forests under 'payments of ecosystem services' (PES) scheme</t>
  </si>
  <si>
    <t>Forest area in the ‘payment for ecosystem services’ scheme</t>
  </si>
  <si>
    <t>Restored or rehabilitated forests</t>
  </si>
  <si>
    <t>Restored or rehabilitated forest area</t>
  </si>
  <si>
    <t>from 0.71% in 2013</t>
  </si>
  <si>
    <t>Annual net deforestation rate</t>
  </si>
  <si>
    <t>from -0.24% in 2010</t>
  </si>
  <si>
    <t>8g</t>
  </si>
  <si>
    <t>Avoided CO2e emissions from deforestation and forest degradation</t>
  </si>
  <si>
    <t>8,750,000 tons</t>
  </si>
  <si>
    <t>8h</t>
  </si>
  <si>
    <t>Forest development and conservation financing</t>
  </si>
  <si>
    <t>Increase in credit for forest development and conservation</t>
  </si>
  <si>
    <t>Emissions reduction (long term)</t>
  </si>
  <si>
    <t>8f</t>
  </si>
  <si>
    <t>Illegal logging reduction</t>
  </si>
  <si>
    <t>Wood sold on illegal markets</t>
  </si>
  <si>
    <t>from 27.6% in 2012</t>
  </si>
  <si>
    <t>Sectoral gas flaring standards</t>
  </si>
  <si>
    <t>Legislation on the limitations of associated gas flaring Russia 2009</t>
  </si>
  <si>
    <t>Gas flaring limit</t>
  </si>
  <si>
    <t>5% (95% use of petroleum gas)</t>
  </si>
  <si>
    <t>2012+</t>
  </si>
  <si>
    <t>Energy intensity</t>
  </si>
  <si>
    <t>State Program on Energy efficiency and Energy Development (approved by Government Decree No 321) Russian Federation 2014</t>
  </si>
  <si>
    <t>Share of renewables in electricity generation (excluding large hydro &gt;25MW)</t>
  </si>
  <si>
    <t>Mandatory energy savings for companies</t>
  </si>
  <si>
    <t>Energy efficiency legislation (Federal Law 261-FZ, On Saving Energy and Increasing Energy efficiency Increase and Amending Certain Legislative Acts of the Russian Federation) Russian Federation 2009</t>
  </si>
  <si>
    <t>Mandatory energy consumption savings for budget-funded organization (absolute consumption)</t>
  </si>
  <si>
    <t>3% per year</t>
  </si>
  <si>
    <t>5 years since 2009</t>
  </si>
  <si>
    <t>Banning inefficient incandescent light bulbs</t>
  </si>
  <si>
    <t>25 Watts or more</t>
  </si>
  <si>
    <t>4e</t>
  </si>
  <si>
    <t>Incentives for companies investing in energy efficiency</t>
  </si>
  <si>
    <t>Investment tax credit for energy efficiency investments</t>
  </si>
  <si>
    <t>up to 30% of tax</t>
  </si>
  <si>
    <t>Tax incentives include investment tax credits of up to 30% for companies investing in energy efficiency technologies, accelerated depreciation of high energy efficiency assets or sites and partial compensation of interest on loans granted by Russian banks for the purpose of investing in energy saving and increased energy efficiency technologies.</t>
  </si>
  <si>
    <t>5c</t>
  </si>
  <si>
    <t>Decrease in energy intensity of GDP</t>
  </si>
  <si>
    <t>Energy Strategy to 2030 Russian Federation 2009</t>
  </si>
  <si>
    <t>5d</t>
  </si>
  <si>
    <t>Decrease in electricity intensity of GDP</t>
  </si>
  <si>
    <t>no less than 1.6 times</t>
  </si>
  <si>
    <t>5e</t>
  </si>
  <si>
    <t>Share of gas in the primary energy consumption</t>
  </si>
  <si>
    <t>46%-47%</t>
  </si>
  <si>
    <t> from 52% in 2005</t>
  </si>
  <si>
    <t>5f</t>
  </si>
  <si>
    <t>13%-14%</t>
  </si>
  <si>
    <t>Period of regulated capacity prices for renewables</t>
  </si>
  <si>
    <t>Decree No. 449 on the Mechanism for the Promotion of Renewable Energy on the Wholesale Electricity and Market Russian Federation 2013</t>
  </si>
  <si>
    <t>Installed capacity target of wind power</t>
  </si>
  <si>
    <t>3600MW</t>
  </si>
  <si>
    <t>Installed capacity target of solar power</t>
  </si>
  <si>
    <t>1520MW</t>
  </si>
  <si>
    <t>Installed capacity target of small-scale hydro</t>
  </si>
  <si>
    <t>751MW</t>
  </si>
  <si>
    <t>Decrease of energy consumption for heating in buildings</t>
  </si>
  <si>
    <t>Rules of Using Thermal Performance of Buildings Russian Federation 2003</t>
  </si>
  <si>
    <t>not specified</t>
  </si>
  <si>
    <t xml:space="preserve">Increase in forest intensification and harvest of wood </t>
  </si>
  <si>
    <t>National Strategy of Forestry Development by 2020 Russian Federation 2008</t>
  </si>
  <si>
    <t>5.8% per year</t>
  </si>
  <si>
    <t>Decrease in share of fuel and energy complex in the gross domestic product and in export</t>
  </si>
  <si>
    <t>no less than 1.7 times</t>
  </si>
  <si>
    <t>Decrease in energy export share of GDP</t>
  </si>
  <si>
    <t>no less than 3 times</t>
  </si>
  <si>
    <t>This target receives direct investment through the King Abdullah City for Atomic and Renewable Energy, and that is why it was marked as 'implemented'</t>
  </si>
  <si>
    <t>Energy efficiency (electricity) increase</t>
  </si>
  <si>
    <t>Capacity additions from 2013 update of IRP</t>
  </si>
  <si>
    <t>Domestic, excl. Imports. Exclude, most important ones are the next four, adding up to 17.8 GW new additional capacity also used by CAT and ERC.
ERC does list 2.6 GW hydro 'new new' capacity</t>
  </si>
  <si>
    <t>Installed Wind capacity</t>
  </si>
  <si>
    <t>9.2 GW</t>
  </si>
  <si>
    <t>Capacity additions from 2013 update of IRP: 8.4 GW new, 800 MW committed</t>
  </si>
  <si>
    <t>1 GW</t>
  </si>
  <si>
    <t>Capacity additions from 2013 update of IRP, same as total capacity in 2030</t>
  </si>
  <si>
    <t>Installed PV capacity</t>
  </si>
  <si>
    <t>8.4 GW</t>
  </si>
  <si>
    <t>Installed nuclear capacity</t>
  </si>
  <si>
    <t>11.4 GW</t>
  </si>
  <si>
    <t>Capacity additions from 2013 update of IRP: 9.6 GW, leading to total 11.4 GW (IRP 2010)</t>
  </si>
  <si>
    <t>ERC: Emissions cap scenario "only limiting the emissions  after 2025 to the 275 MtCO2, allowing emissions to exceed the cap beforehand and using decommissioning  to bring the emissions below the limit" + policy adjustment adding 9.6 GW nuclear</t>
  </si>
  <si>
    <t>Supporting the IRP, not implemented separately</t>
  </si>
  <si>
    <t>Share of bioethanol</t>
  </si>
  <si>
    <t>2-10%</t>
  </si>
  <si>
    <t>5%</t>
  </si>
  <si>
    <t>carbon emissions from electricity/renewable electricity capacity (gCO2/KWh)</t>
  </si>
  <si>
    <t>Bus Rapid Transport in Cape Town</t>
  </si>
  <si>
    <t>Emissions reduction potential</t>
  </si>
  <si>
    <t>1.4 MtCO2e/year</t>
  </si>
  <si>
    <t>2025-2035</t>
  </si>
  <si>
    <t>61 GW renewable capacity by 2023; 34 GW of hydro, 25 GW of wind and solar (20 GW wind, 5 GW solar: PV + CSP), 2 GW of geothermal and biomass capacities (1 GW geothermal, 1 GW biomass). 
Electricity market and supply security strategy document 2009 (as mentioned in national communication update of 2016): 20,000 MW wind power by 2023, Provide for use of all hydroelectric potential that can be used technically and economically in electricity energy production, 600 MW geothermal, 2 nuclear power plants
NatCom 2016 also: to increase the total installed power of electricity production plants from renewable energy resources to 46,400 by the end of 2019</t>
  </si>
  <si>
    <t xml:space="preserve">Regulation on Energy Performance in Buildings Turkey 2007 </t>
  </si>
  <si>
    <t>"This regulation provides that buildings with more than 2000 m² of usable space shall be equipped with a central heating system, and especially for buildings with more than 20.000 m² ways to use renewable energy and cogeneration facilities more is defined." (National Climate change Action Plan, 2011). "Under the “By law on Energy Performance of Buildings”, the Ministry of Environment and Urbanization will require buildings to meet minimum performance criteria and standards concerning architecture, heat insulation, heating and cooling systems and electrification. According to this regulation, an “Energy Performance Certificate” is given starting in January 2011 in order to give information on energy expenses and CO2 emissions for new buildings and buildings that have been purchased or rented. Utilisation licences will not be granted to new buildings that receive less than a “D” class rating. Furthermore, central heating is compulsory for new buildings of more than 2 000 m2." (IEA policies and measures)</t>
  </si>
  <si>
    <t>https://energypedia.info/wiki/Turkey-_Energy_Efficiency_in_Buildings</t>
  </si>
  <si>
    <t>14,500 Gg in 2007, 16,700 Gg in 2020</t>
  </si>
  <si>
    <t>Additional costs: $1000 per car (PBL assumption)</t>
  </si>
  <si>
    <t>Or 163 gCO2/mile. Passenger: 26.4 km/l, ligth-duty vehicles: 18.6 km/l</t>
  </si>
  <si>
    <t>mpg (km/l) for medium trucks</t>
  </si>
  <si>
    <t>Average standards based on (ICCT, 2015b), this document includes more details on standards for all types of trucks (Table 2)</t>
  </si>
  <si>
    <t>http://www.theicct.org/sites/default/files/publications/ICCTpolicyupdate14_USHDV_final.pdf</t>
  </si>
  <si>
    <t>mpg (km/l) for heavy trucks</t>
  </si>
  <si>
    <t xml:space="preserve">Additional costs: $6,200 for heavy-duty trucks (ICCT, 2015a) and $1,050 for medium-trucks based on scaliung </t>
  </si>
  <si>
    <t xml:space="preserve">Renewable electricity </t>
  </si>
  <si>
    <t>The President's Climate Action Plan Renewable Energy Target</t>
  </si>
  <si>
    <t>100% increase</t>
  </si>
  <si>
    <t>Renewable Fuel standards</t>
  </si>
  <si>
    <t>36 billion gallons (2.88 EJ)</t>
  </si>
  <si>
    <t>Building codes</t>
  </si>
  <si>
    <t>Final energy use (EJ)</t>
  </si>
  <si>
    <t>Better buildings better plants</t>
  </si>
  <si>
    <t>Energ use/m2 (buildings)</t>
  </si>
  <si>
    <t>Reduce oil import</t>
  </si>
  <si>
    <t xml:space="preserve">Blueprint for a secure energy future </t>
  </si>
  <si>
    <t>Oil import (EJ)</t>
  </si>
  <si>
    <t>50% reduction</t>
  </si>
  <si>
    <t>Conservation Reserve Program</t>
  </si>
  <si>
    <t xml:space="preserve">Conservation Reserve Program United States of America </t>
  </si>
  <si>
    <t>Forest Ecosystem Restoration and Hazardous Fuels Reduction Programs United States of America</t>
  </si>
  <si>
    <t>Clean Power Plan</t>
  </si>
  <si>
    <t>The GHG reduction for the Clean Power Plan probably includes this new power plant standard</t>
  </si>
  <si>
    <t>Cut Methane in oil &amp; gas</t>
  </si>
  <si>
    <t>Energy productivity</t>
  </si>
  <si>
    <t xml:space="preserve">Accelerate Energy Productivity 2030 </t>
  </si>
  <si>
    <t>Energy productivity (GDP(US$(2005)/EJ)</t>
  </si>
  <si>
    <t>Air pollution</t>
  </si>
  <si>
    <t>Permitting Under the Clean Air Act</t>
  </si>
  <si>
    <t>Land use</t>
  </si>
  <si>
    <t>USDA's Building Blocks for Climate Smart Agriculture &amp; Forestry</t>
  </si>
  <si>
    <t>Total net GHG emissions AFOLU</t>
  </si>
  <si>
    <t>120 Mt reductions</t>
  </si>
  <si>
    <t>Total sequestration</t>
  </si>
  <si>
    <t>48 Mt reductions</t>
  </si>
  <si>
    <t>CO2-intensity</t>
  </si>
  <si>
    <t>NC2</t>
  </si>
  <si>
    <t>CO2 peaking around 2030 and making best efforts to peak early</t>
  </si>
  <si>
    <t>(see additional information for reduction per GHG)</t>
  </si>
  <si>
    <t>See additional information for TPES accounting</t>
  </si>
  <si>
    <t>40% cumulative electric power installed capacity from non-fossil fuel based energy sources</t>
  </si>
  <si>
    <t>Interpret: 40% non-fossil share of total installed capacity by 2030</t>
  </si>
  <si>
    <t>Installed capacity hydro</t>
  </si>
  <si>
    <t>117 GW</t>
  </si>
  <si>
    <t>Installed capacity small hydro</t>
  </si>
  <si>
    <t>8 GW</t>
  </si>
  <si>
    <t>Installed capacity bioenergy</t>
  </si>
  <si>
    <t>18 GW</t>
  </si>
  <si>
    <t>Installed capacity Solar</t>
  </si>
  <si>
    <t>7 GW</t>
  </si>
  <si>
    <t>Installed capacity Wind</t>
  </si>
  <si>
    <t>24 GW</t>
  </si>
  <si>
    <t>PAT scheme (cycle I)</t>
  </si>
  <si>
    <t xml:space="preserve">Renewable Capacity targets 2022 </t>
  </si>
  <si>
    <t>6.5 GW</t>
  </si>
  <si>
    <t xml:space="preserve">Renewable Purchase Obligations (also refered to as Renewable Portfolio Standards in the US) </t>
  </si>
  <si>
    <t>% of generation from Renewable Energy</t>
  </si>
  <si>
    <t>RPOs were conceptualised under the NAPCC. Ammendments to the Electricity Act 2003, National Electricity 2005 and National Tariff Policy 2006 mandated SERC to set RPO targets. The national target was set at 6% in 2010/11 and  is to be progressivily increased by 1% each year, reaching 15% by 2020. Actual achievement has been much lower about 4 - 4.5% of the total generation</t>
  </si>
  <si>
    <t>GHG emissions</t>
  </si>
  <si>
    <t>For 2015-2030: 270 MtCO2e
BUR: from 2017 onwards new thermal power plants be based mainly on supercritical technology. Already 40 supercritical units with a total capacity of 27,485 MW have been installed.
Twelfth Plan: 10 GW of Ultra Supercritical coal plants can reduce emissions by ~ 15 per cent compared to current plants.
TERI: The 10 GW of Ultra Super Critical power plant is still under planning and it is unlikely that any change would be seen on ground till 2030. The supercritical power generation capacity addition is implemented. National Mission for clean coal is planned</t>
  </si>
  <si>
    <t xml:space="preserve">100 GW of capacity addition is an ambitious target. Even though there are detailed plans on how this will be allocated within the country. There is no policy/programme to address the intermittency issue. Therefore, while including this in the model, it is imperative to report the low PLF in the system. </t>
  </si>
  <si>
    <t>The RE targets have been revised up but fall under the Nation solar and Wind mission. Each of these have their genisis under the National Action Plan on Climate Change</t>
  </si>
  <si>
    <t>Emission reductions</t>
  </si>
  <si>
    <t>commission 1  plant by 2030</t>
  </si>
  <si>
    <t>GHG intensity target</t>
  </si>
  <si>
    <t>Renewable electricity target</t>
  </si>
  <si>
    <t>Renewable TPES target</t>
  </si>
  <si>
    <t>Power plant standard</t>
  </si>
  <si>
    <t>Renewable capacity target</t>
  </si>
  <si>
    <t>Building Code</t>
  </si>
  <si>
    <t>Backing policy instrument for capacity targets</t>
  </si>
  <si>
    <t>Share of electric passenger vehicles</t>
  </si>
  <si>
    <t>Fuel efficiency standard</t>
  </si>
  <si>
    <t>MJ/pkm</t>
  </si>
  <si>
    <t>Backing policy instrument for electric vehicle share goal</t>
  </si>
  <si>
    <t>1f</t>
  </si>
  <si>
    <t>Policy instrument that backs specific target</t>
  </si>
  <si>
    <t>Afforestation/reforestation</t>
  </si>
  <si>
    <t>Generic Impact indicator</t>
  </si>
  <si>
    <t>Specific Impact Indicator</t>
  </si>
  <si>
    <t>Not possible to model in IAM</t>
  </si>
  <si>
    <t>Electric vehicle standards</t>
  </si>
  <si>
    <t>Multilpliers for electric vehicles</t>
  </si>
  <si>
    <t>MJ/L gasoline</t>
  </si>
  <si>
    <t>passenger cars</t>
  </si>
  <si>
    <t>Liter/Gallon</t>
  </si>
  <si>
    <t>mpg</t>
  </si>
  <si>
    <t>Mile to km</t>
  </si>
  <si>
    <t>load</t>
  </si>
  <si>
    <t>gasoline share in fossil fuels</t>
  </si>
  <si>
    <t>http://ec.europa.eu/eurostat/statistics-explained/images/3/3c/New_passenger_cars_by_type_of_engine_fuel%2C_2013.png</t>
  </si>
  <si>
    <t>heavy-duty vehicles</t>
  </si>
  <si>
    <t>gasoline</t>
  </si>
  <si>
    <t>http://www.eia.gov/oiaf/1605/coefficients.html#tbl2</t>
  </si>
  <si>
    <t>diesel</t>
  </si>
  <si>
    <t>gasoline/diesel</t>
  </si>
  <si>
    <t>light trucks</t>
  </si>
  <si>
    <t>MJ/km</t>
  </si>
  <si>
    <t>light-duty vehicles</t>
  </si>
  <si>
    <t>l/100km</t>
  </si>
  <si>
    <t>l/100 km</t>
  </si>
  <si>
    <t>medium trucks</t>
  </si>
  <si>
    <t xml:space="preserve"> 55 mpg (23.2 km/l)</t>
  </si>
  <si>
    <t>7.3 mpg (3.1 km/l)</t>
  </si>
  <si>
    <t>5.7 mpg (2.4 km/l)</t>
  </si>
  <si>
    <t>8.2 mpg (3.5 km/l)</t>
  </si>
  <si>
    <t>10.9 mpg (4.6 km/l)</t>
  </si>
  <si>
    <t>Load MedTruck</t>
  </si>
  <si>
    <t>MedTruck payload (imperial pounds)</t>
  </si>
  <si>
    <t>http://en.wikipedia.org/wiki/Truck_classification</t>
  </si>
  <si>
    <t>Load HeavyTruck</t>
  </si>
  <si>
    <t>HeavyTruck payload (imperial pounds)</t>
  </si>
  <si>
    <t>http://www.fhwa.dot.gov/reports/tswstudy/Vol2-Chapter3.pdf</t>
  </si>
  <si>
    <t>(persons)</t>
  </si>
  <si>
    <t>km/Mile</t>
  </si>
  <si>
    <t>Loadfactor (% of maximum load)</t>
  </si>
  <si>
    <t>pound to kg</t>
  </si>
  <si>
    <t>TRUCKS</t>
  </si>
  <si>
    <t>tkm/l</t>
  </si>
  <si>
    <t>MJ/tkm</t>
  </si>
  <si>
    <t>Renewable electricity generation from wind/solar/geothermal (KwH)</t>
  </si>
  <si>
    <t>Backed by many state renewable electricity targets, 2012 renewable share from AEO2015 (Table A8/A16)</t>
  </si>
  <si>
    <t>Biofuel share</t>
  </si>
  <si>
    <t>450 gCO2/KWh</t>
  </si>
  <si>
    <t>Biofuel share (volume)</t>
  </si>
  <si>
    <t>- HFC reduction</t>
  </si>
  <si>
    <t>- GHG reduction (excl LULUCF CO2)</t>
  </si>
  <si>
    <t>- GHG reduction (incl LULUCF CO2)</t>
  </si>
  <si>
    <t>36 bn barrels translated to volume based on AEO 2015 Table A7 (biofuel share of road transport)</t>
  </si>
  <si>
    <t>36 bn barrels translated to energy based on AEO 2015 Table A7 andtable G1 (biofuel share of road transport)</t>
  </si>
  <si>
    <t>CO2 reduction</t>
  </si>
  <si>
    <t>Cumulative reduction of 2.2 - 3 Gt (current/planned) CO2 until 2030</t>
  </si>
  <si>
    <t>Energy intensity (MJ/m2)</t>
  </si>
  <si>
    <t>- CO2 reduction</t>
  </si>
  <si>
    <t xml:space="preserve">Appliances standard </t>
  </si>
  <si>
    <t>Backing building codes and appliance standards</t>
  </si>
  <si>
    <t>Altough this also applies to industry appliances, we only apply it to residential/commercial buildings</t>
  </si>
  <si>
    <t>- CH4 reduction</t>
  </si>
  <si>
    <t>Building Code intensity</t>
  </si>
  <si>
    <t>Appliances standard final energy reduction</t>
  </si>
  <si>
    <t>Residential sector</t>
  </si>
  <si>
    <t>Commercial Sector</t>
  </si>
  <si>
    <t>Residential sector (only electricity)</t>
  </si>
  <si>
    <t>Commercial Sector (only electricity)</t>
  </si>
  <si>
    <t>Buildings sector (only electricity)</t>
  </si>
  <si>
    <t>Non-climate policy</t>
  </si>
  <si>
    <t>Renewable share (excl. hydro) in installed capacity</t>
  </si>
  <si>
    <t>Total biofuels</t>
  </si>
  <si>
    <t>2015-2019</t>
  </si>
  <si>
    <t>7-10%</t>
  </si>
  <si>
    <t>BY GWP</t>
  </si>
  <si>
    <t>LULUCF emissions Target Year</t>
  </si>
  <si>
    <t>CO2 (excl LULUCF)</t>
  </si>
  <si>
    <t>All sectors (excl AFOLU)</t>
  </si>
  <si>
    <t>Planning Commission</t>
  </si>
  <si>
    <t>CAT</t>
  </si>
  <si>
    <t>Innovar gives tax reduction on vehicles that meet the CAFE standard (1.82 MJ/km) and additional discount on tax leading up to 1.68 MJ/km. Assumption: use 1.82 MJ/km</t>
  </si>
  <si>
    <t>1.14 MJ/pkm</t>
  </si>
  <si>
    <t>Renewable electricity target (excl hydro)</t>
  </si>
  <si>
    <t>Total biofuel share in transport fuels</t>
  </si>
  <si>
    <t>http://www.pbl.nl/en/publications/enhanced-policy-scenarios-for-major-emitting-countries</t>
  </si>
  <si>
    <t>Share of biofuels in TPES</t>
  </si>
  <si>
    <t>28-33%</t>
  </si>
  <si>
    <t>Renewable share in TPES (excl hydro)</t>
  </si>
  <si>
    <t>Restoring and reforesting area</t>
  </si>
  <si>
    <t>12 million hectares</t>
  </si>
  <si>
    <t>Restoring degraded pasture lands</t>
  </si>
  <si>
    <t>15 million hectares</t>
  </si>
  <si>
    <t>Efficiency in electricity sector</t>
  </si>
  <si>
    <t>10% reduction</t>
  </si>
  <si>
    <t>http://www.teriin.org/policybrief/docs/biofuel.pdf
http://mnre.gov.in/file-manager/UserFiles/biofuel_policy.pdf</t>
  </si>
  <si>
    <t>14-16%</t>
  </si>
  <si>
    <t>5 GW</t>
  </si>
  <si>
    <t>Target used to be 5.4 Mtoe reduction, updated after feedback TERI</t>
  </si>
  <si>
    <t>PoA: Programme of Activities</t>
  </si>
  <si>
    <t>1.3 MJ/pkm</t>
  </si>
  <si>
    <t>0.9 MJ/pkm</t>
  </si>
  <si>
    <t>For 2015-2030: 32 and for 2005-2020: 1151</t>
  </si>
  <si>
    <t>new houses &gt;50% of water heating by low-C sources</t>
  </si>
  <si>
    <t>Negligible impact</t>
  </si>
  <si>
    <t>Proposed levels won’t have any impact</t>
  </si>
  <si>
    <t>Assuming the same energy factor for biofuels and gasoline/diesel gives a value of 0.12. However, both biodiesel and ethanol have lower energy densities than diesel and gasoline, respectively. The exact value of total energy GJ/energy from biofuels GJ depends on how much gasoline vs how much diesel is used. Diesel has 35.8 MJ/L, gasoline has 34.2 MJ/L, ethanol has 20.9 MJ/L, and biodiesel has 33 MJ/L. Argentina has an estimated consumption of 8.5billion liters of gasoline and 16.9 billion liters of diesel in 2016 (http://gain.fas.usda.gov/Recent%20GAIN%20Publications/Biofuels%20Annual_Buenos%20Aires_Argentina_7-1-2015.pdf), which, given a 12% blend, implies a total consumption of 1.02 billion liters ethanol and 2 billion liters biodiesel. Hence, the energy values are: 290.7 billion MJ from gasoline, 605 billion MJ from diesel,  21.3 billion MJ from ethanol, and 66 billion MJ from biodiesel. Share of biofuel energy is 87.3/895.7 = 9.7% . But turning to hard data, we reported in March 2014 that the government has set the price of biodiesel at $576.5 per metric ton, a price which producers say is too high for blenders to buy. As such, less than 5% of total diesel consumption is biodiesel, less than half of the 10% blending mandate. Tariffs on exports to the European Union were expected to drop volumes to just 750,000 tons this year, down from more than 1.15 million tonnes in 2013 (http://www.biofuelsdigest.com/bdigest/2016/01/03/biofuels-mandates-around-the-world-2016/).</t>
  </si>
  <si>
    <t>1500MW</t>
  </si>
  <si>
    <t>Added electricity production capacity from biomass</t>
  </si>
  <si>
    <t>Added heat production capacity from biomass</t>
  </si>
  <si>
    <t>Large-scale generation certificates (LGCs) - required share of renewables</t>
  </si>
  <si>
    <t>Small-scale technology certificates (STCs) - required share of renewables</t>
  </si>
  <si>
    <t>approx. 6.8 MtCO2e emissions reduction; 1.6% reduction compared to 2010</t>
  </si>
  <si>
    <t>China had 172 million cars in 2015, an increase of 89% from 90.86 million in 2010. Assuming the same increase for the following five years, it is expected that China will have around 325 million cars in 2020, 1.5% would be electric vehicles. (http://www.statista.com/statistics/285306/number-of-car-owners-in-china/)</t>
  </si>
  <si>
    <t>2 million/year</t>
  </si>
  <si>
    <t xml:space="preserve">6% of new cars will be electric </t>
  </si>
  <si>
    <t>24.6 million cars produced per year in 2015, with an increase of approximately 36% from 2010. Assuming the same increase, 33.5 million cars will be produced per year in 2020, hence a share of 6% of new cars will be electric.(http://www.statista.com/statistics/233743/vehicle-sales-in-china/)</t>
  </si>
  <si>
    <t>5.0 L/100km;  120gCO2/km</t>
  </si>
  <si>
    <t>Exising plants - 109 kgce/t; New plants: 100 kgce/t</t>
  </si>
  <si>
    <t>Exising plants - 3194 MJ/t; New plants: 12930 MJ/t</t>
  </si>
  <si>
    <t>Exising plants - 502 kgce/t; New plants: 468 kgce/t</t>
  </si>
  <si>
    <t>Exising plants - 14709 MJ/t; New plants: 13712 MJ/t</t>
  </si>
  <si>
    <t>Exising plants - 165 kgce/t; New plants: 135 kgce/t</t>
  </si>
  <si>
    <t>Exising plants - 4834 MJ/t; New plants: 3956 MJ/t</t>
  </si>
  <si>
    <t>Action Plan for Upgrading of Coal Power Energy Conservation and Emission Reduction Released</t>
  </si>
  <si>
    <t>Maximum level of average consumption of coal-fired power plants</t>
  </si>
  <si>
    <t>310 gce/KWh</t>
  </si>
  <si>
    <t>889 gCO2/kWh</t>
  </si>
  <si>
    <t>Using a value of 2602 kgCO2/ton, assuming standard coal has the same emissions factor as anthracite. Converted this value to CO2 emissions of 310 gce (https://www.epa.gov/sites/production/files/2015-07/documents/emission-factors_2014.pdf)</t>
  </si>
  <si>
    <t>same</t>
  </si>
  <si>
    <t>5 Gtce/year (billion tons of standard coal equivalent per year)</t>
  </si>
  <si>
    <t>Share of newly constructed buildings that are green (unclear what is meant by 'green')</t>
  </si>
  <si>
    <t>Carbon intensity decrease per unit value added</t>
  </si>
  <si>
    <t>China's IVA was 42.7% of GDP in 2014 and decreasing.</t>
  </si>
  <si>
    <t>Annual use of biodiesel and ethanol</t>
  </si>
  <si>
    <t>12 million tonnes/year</t>
  </si>
  <si>
    <t>13a</t>
  </si>
  <si>
    <t>Green industry development plan (2016-2020) China 2016</t>
  </si>
  <si>
    <t>Energy consumption decrease per value added in industry</t>
  </si>
  <si>
    <t>Models should have IVA and current MJ</t>
  </si>
  <si>
    <t>Medium and Long-term Plan of Energy Conservation: 10 Energy Conservation Programmes China 2004</t>
  </si>
  <si>
    <t>Reduction in energy consumption per capita</t>
  </si>
  <si>
    <t>23.04% (was 22.2 in 2015)</t>
  </si>
  <si>
    <t>221 million ha; 16.133 billion m3</t>
  </si>
  <si>
    <t>2.3% of current cars</t>
  </si>
  <si>
    <t>1.5 MJ/pkm; 173gCO2/km (2.42MJ/km)</t>
  </si>
  <si>
    <t>Need indicator for energy consumption reduction</t>
  </si>
  <si>
    <t>Annual energy savings for energy distributors or retail energy sales companies (does not apply to small companies)</t>
  </si>
  <si>
    <t>1.5% of total sales annually</t>
  </si>
  <si>
    <t>In terms of decrease in energy depand, this would be close to 1.5% decrease in the total demand annually.</t>
  </si>
  <si>
    <t>annual decrease of 1.74% GHG emissions of companies under ETS (industry and electricity sector)</t>
  </si>
  <si>
    <t>approx 2.6% below 1990 levels from this target</t>
  </si>
  <si>
    <t>Fluorinated greenhouse gas emissions were estimated at 90 million tonnes (Mt) of CO2 equivalent in 2005. If based on the reference year 2005, a reduction in non-CO2 emissions, except those from agriculture, of 60 % to 61 % by 2030 is required. ..means that emissions would have to be reduced to approximately 35 Mt of CO2 equivalent by 2030. (http://eur-lex.europa.eu/legal-content/EN/TXT/?uri=uriserv:OJ.L_.2014.150.01.0195.01.ENG). Hence, there were approximately 200 MtCO2e in 1990 from non-CO2 GHGs, excluding the agricultural sector. Total GHG emissions in 1990 were 5672 MtCO2e (http://www.eea.europa.eu/publications/latest#c14=&amp;c12=&amp;c7=en&amp;c11=5&amp;b_start=0). The reduction from this policy is of approximately 2.6% from 1990 levels.</t>
  </si>
  <si>
    <t>10% of transport energy use</t>
  </si>
  <si>
    <t>Back GHG emissions reduction target</t>
  </si>
  <si>
    <t>until end 2017</t>
  </si>
  <si>
    <t>Need share of car in cities out of total road transport</t>
  </si>
  <si>
    <t>Civil aviation represents 13% of all EU transport related emissions in 2014 (http://ec.europa.eu/clima/policies/transport/index_en.htm)</t>
  </si>
  <si>
    <t>CO2 emissions reductions from ships</t>
  </si>
  <si>
    <t>5.2% GHG emissions reduction from transport sector</t>
  </si>
  <si>
    <t>Navigation represents 13% of all EU transport related emissions in 2014 (http://ec.europa.eu/clima/policies/transport/index_en.htm)</t>
  </si>
  <si>
    <t>Current average CO2 emissions limits (gCO2/km)</t>
  </si>
  <si>
    <t>Average CO2 emissions limits from 2020 (gCO2/km)</t>
  </si>
  <si>
    <t>light commercial</t>
  </si>
  <si>
    <t>1.52 MJ/pkm</t>
  </si>
  <si>
    <t>1.28 MJ/pkm</t>
  </si>
  <si>
    <t>1.05 MJ/pkm</t>
  </si>
  <si>
    <t>0.83 MJ/pkm</t>
  </si>
  <si>
    <t>0MJ/m2 in new buildings</t>
  </si>
  <si>
    <t>0MJ/m2 in public buildings</t>
  </si>
  <si>
    <t>New passenger car registrations in the EU increased slightly to about 12.5 million in 2014, though they remain about 20% below the level before the economic crisis (http://www.theicct.org/european-vehicle-market-statistics-2015-2016).</t>
  </si>
  <si>
    <t>This is average raw coal and not standards coal equivalent. Total emissions should not be determined using standards IPCC emissions factors because a study showed China uses poor quality coal which has a 40% lower emission factor (http://www.nature.com/articles/nature14677.epdf?referrer_access_token=6lhTQFmSHqSuVFLChgV0ztRgN0jAjWel9jnR3ZoTv0MeWzAFv1GbCl78UCx6T-jAkl3-Av9SvxMQtCJswwVmtjw79N1bW0f-M7eAg5kqP1RLgs_D7B0G0hJCkAGfhXgfyxcxgfv1vHdHGRj-MNZUGzPkykCXprbN2_DEERfIqyteys09y7rK6Jnj98b0nKZLyVtE8kv-fEWYiqv6zYwKzpeZrALy616zoDQZYirB10oNxid674Roxurec8Se0Hjq&amp;tracking_referrer=www.nature.com). This is a large value, almost as high as the cap on primary consumption in quantity, but this is due to energy levels difference between average raw coal and standard coal equivalent (ratio of approx. 68%). If using TCE=30.30GJ and average raw coal energy TACE=30.30*0.68, then cap on coal energy consumption is 4.2*30.30*0.68 EJ</t>
  </si>
  <si>
    <t>LULUCF credits</t>
  </si>
  <si>
    <t>Indicator</t>
  </si>
  <si>
    <t>Greenhouse gas reduction roadmap</t>
  </si>
  <si>
    <t>Greenhouse Gas Reduction Roadmap</t>
  </si>
  <si>
    <t>GHG emissions buildings sector</t>
  </si>
  <si>
    <t>26.9% reduction</t>
  </si>
  <si>
    <t>BAU (45.0 MtCO2e)</t>
  </si>
  <si>
    <t xml:space="preserve">Renewable electricity target </t>
  </si>
  <si>
    <t>11.7% of total generation and 20.1% of total generation capacity</t>
  </si>
  <si>
    <t>Electricity capacity planning</t>
  </si>
  <si>
    <t xml:space="preserve">Capacity by electricity technology including new and renewable. </t>
  </si>
  <si>
    <t>Technology specific</t>
  </si>
  <si>
    <t>1.8 GW</t>
  </si>
  <si>
    <t>Installed capacity onshore wind</t>
  </si>
  <si>
    <t>0.8 GW</t>
  </si>
  <si>
    <t>Installed capacity offshore wind</t>
  </si>
  <si>
    <t>1.0 GW</t>
  </si>
  <si>
    <t>Installed capacity solar</t>
  </si>
  <si>
    <t>16.6 GW</t>
  </si>
  <si>
    <t>Installed capacity bio</t>
  </si>
  <si>
    <t>0.2 GW</t>
  </si>
  <si>
    <t>Installed capacity waste</t>
  </si>
  <si>
    <t>New automotive emissions standards Korea (South) 2008</t>
  </si>
  <si>
    <t>Energy Efficiency Labeling and Standard / Minimum Energy Performance Standards</t>
  </si>
  <si>
    <t>Energy Effciency Labeling and Standard</t>
  </si>
  <si>
    <t>Energy Efficiency</t>
  </si>
  <si>
    <t>Appliance Specific</t>
  </si>
  <si>
    <t>BAU (776 MtCO2e)</t>
  </si>
  <si>
    <t>GHG emissions transport sector</t>
  </si>
  <si>
    <t>34.4% redution</t>
  </si>
  <si>
    <t>BAU (34.1 MtCO2e)</t>
  </si>
  <si>
    <t>GHG emissions industry sector</t>
  </si>
  <si>
    <t>81.3% reduction</t>
  </si>
  <si>
    <t>BAU (81.3 MtCO2e)</t>
  </si>
  <si>
    <t>Electricity demand management</t>
  </si>
  <si>
    <t>Annual electricity consumption</t>
  </si>
  <si>
    <t>BAU (766,109 GWh)</t>
  </si>
  <si>
    <t>BAU (127, 229 MW)</t>
  </si>
  <si>
    <t>Includes hydro, wind, offshore wind, solar, bio, wastte, byproduct gas, fuell cell and IGCC, without fuel cell and IGCC the REN share is 9.7%</t>
  </si>
  <si>
    <t>This can not be divided into exported cars and BEVs used in Korea</t>
  </si>
  <si>
    <t>Approximately 1/3 of total cars is diesel cars (see IEEJ, 2015), so biofuel blend gasoline/diesel is 1.3%</t>
  </si>
  <si>
    <t>http://www.theicct.org/global-transportation-energy-and-climate-roadmap</t>
  </si>
  <si>
    <t>improvement relative to 2010</t>
  </si>
  <si>
    <t>improvement relative to 2012</t>
  </si>
  <si>
    <t>improvement relative to 2014</t>
  </si>
  <si>
    <t>FLENS</t>
  </si>
  <si>
    <t>Curb illegal logging to reduceing the current deforestation rate by 20–50 Mm3 per year</t>
  </si>
  <si>
    <t xml:space="preserve">Moratorium on the issuance of new conversion permits for primary forest and peatlands </t>
  </si>
  <si>
    <t>Moratorium on licenses on primary forest</t>
  </si>
  <si>
    <t>Backed by FIT and geothermal ceiling</t>
  </si>
  <si>
    <t>Additional installed Capacity</t>
  </si>
  <si>
    <t>20-50 mn. annual reduction</t>
  </si>
  <si>
    <t>Ìmplemented</t>
  </si>
  <si>
    <t>Installed capacity in 2015: 12.2 GW hydro, 3.2 GW solar, 0.9 GW wind, 0.3 GW geothermal</t>
  </si>
  <si>
    <t>Accounting rules</t>
  </si>
  <si>
    <t>We assume the EU has zero LULUCF credits in 2030</t>
  </si>
  <si>
    <t>Source for LULUCF credits</t>
  </si>
  <si>
    <t xml:space="preserve">Den Elzen et al (2016). </t>
  </si>
  <si>
    <t>Contribution of the G20 countries to the global impact of the Paris agreement climate proposals</t>
  </si>
  <si>
    <t>Climate Change. Letter</t>
  </si>
  <si>
    <t>DOI 10.1007/s10584-016-1700-7</t>
  </si>
  <si>
    <t>Full accounting</t>
  </si>
  <si>
    <t>(Grassi, Dentener, 2015)</t>
  </si>
  <si>
    <t>Grassi, G., Dentener, F.</t>
  </si>
  <si>
    <t>Quantifying the contribution of the land use sector to the Paris Climate Agreement</t>
  </si>
  <si>
    <t>JRC Science for policy report</t>
  </si>
  <si>
    <t>EC Joint Research Centre, Institute for Environment and sustainability</t>
  </si>
  <si>
    <t>November 2015</t>
  </si>
  <si>
    <t>Den Elzen, M., Admiraal, A., Roelfsema, M., Van Soest, H., Hof, A.F., Forsell, N.</t>
  </si>
  <si>
    <t>Assumptions for LULUCF 2030 projections</t>
  </si>
  <si>
    <t xml:space="preserve">http://unfccc.int/resource/docs/natc/argbur1.pdf </t>
  </si>
  <si>
    <t>Assumption: 2010 emissions are kept constant until 2030</t>
  </si>
  <si>
    <t>http://unfccc.int/files/national_reports/biennial_reports_and_iar/submitted_biennial_reports/application/pdf/turkey_joint_first_and_second_biennial_report.pdf</t>
  </si>
  <si>
    <t>No LULUCF credits estimates available, so we assume full accounting. For this 2013 emissions from BUR are kept constant</t>
  </si>
  <si>
    <t>Base Year emissions (incl LULUCF)</t>
  </si>
  <si>
    <t>Base Year emissions (excl LULUCF)</t>
  </si>
  <si>
    <t>http://unfccc.int/resource/docs/natc/zafnir1.pdf</t>
  </si>
  <si>
    <t>Source for LULUCF 2030 projections target year</t>
  </si>
  <si>
    <t xml:space="preserve">Den Elzen et al (2015). </t>
  </si>
  <si>
    <t>Den Elzen, M., Fekete, H., Admiraal, A., Forsell, N., Hohne, N., Korosua, A., Roelfsema, M., Van Soest, H., Wouters, K., Day, T., Hagemann, M., Hof, A., Mosnier, A.</t>
  </si>
  <si>
    <t>Enhanced policy scenarios for major emitting countries. Analysis of current and planned climate policies and selected enahnced mitigation measures</t>
  </si>
  <si>
    <t>Policy Study</t>
  </si>
  <si>
    <t>PBL Netherlands Environmental Assessment Agency, New Climate Institue, IIASA, Ecofys</t>
  </si>
  <si>
    <t>The Hague</t>
  </si>
  <si>
    <t>Den Elzen et al (2015)</t>
  </si>
  <si>
    <t>Estimate from Fifth National Communication is used (Den Elzen et al. include range)</t>
  </si>
  <si>
    <t>0.45-3.57 USD/tonne CO2e</t>
  </si>
  <si>
    <t>http://www.nrcan.gc.ca/energy/efficiency/housing/new-homes/energy-star/14178</t>
  </si>
  <si>
    <t>Ended</t>
  </si>
  <si>
    <t>National baseline from BAPPENAS presentation (Government of Indonesia, 2015)</t>
  </si>
  <si>
    <t>http://unfccc.int/resource/docs/natc/idnbur1.pdf</t>
  </si>
  <si>
    <t>Current policies: biodiesel blending is 5% in 2017 (Gain report, USDA, 2016)</t>
  </si>
  <si>
    <t>Biofuels share</t>
  </si>
  <si>
    <t>Energy intensity target</t>
  </si>
  <si>
    <t>Credits and tax reliefs for forestry projects</t>
  </si>
  <si>
    <t>Law No. 25.080 / 99 Investment in Forestry</t>
  </si>
  <si>
    <t>20% or 80% of the plantation costs depending on the surface and region</t>
  </si>
  <si>
    <t>since 1999</t>
  </si>
  <si>
    <t>Subsidy for new energy vehicle</t>
  </si>
  <si>
    <t>30% (have 120kWh/m2)</t>
  </si>
  <si>
    <t>Only have energy intensity</t>
  </si>
  <si>
    <t>Eco-car subsidies</t>
  </si>
  <si>
    <t>Eco-car tax relief</t>
  </si>
  <si>
    <t>20.3 km/L for passenger cars, a 19.6% increase over MY2015 performance of 16.8 km/L.</t>
  </si>
  <si>
    <t>1.07MJ/pkm in 2020 compared to 1.29MJ/pkm in 2015</t>
  </si>
  <si>
    <t>1% annual decrease (approx 35PJ decrease per year)</t>
  </si>
  <si>
    <t>7k</t>
  </si>
  <si>
    <t>24 JYN for &gt;10kW</t>
  </si>
  <si>
    <t>2011-2017</t>
  </si>
  <si>
    <t>Renewables reverse auction (above 10kW)</t>
  </si>
  <si>
    <t xml:space="preserve">Total energy use reduction of 10%, or 1397 PJ  (36 million kloe) </t>
  </si>
  <si>
    <t>Control of F-gases</t>
  </si>
  <si>
    <t>Act on Rational Use and Proper Management of Fluorocarbons</t>
  </si>
  <si>
    <t>F-gas emissions reductions</t>
  </si>
  <si>
    <t xml:space="preserve">9.7-15.6 MtCO2e </t>
  </si>
  <si>
    <t>Biennial report http://unfccc.int/files/bodies/awg/application/pdf/08_japan_racia_kazuhiro_sato.pdf. Emissions reduction value from http://unfccc.int/files/national_reports/annex_i_natcom/submitted_natcom/application/pdf/nc6_jpn_resubmission.pdf</t>
  </si>
  <si>
    <t>Regulation and Standard for Housing and Building (Energy Conservation Act)</t>
  </si>
  <si>
    <t>Building energy use standards</t>
  </si>
  <si>
    <t>between 290 MJ/m3/a and 460 MJ/m3/a depending on climate area</t>
  </si>
  <si>
    <t>1053 MJ/m2/a</t>
  </si>
  <si>
    <t>22%-24% (incl. hydro)</t>
  </si>
  <si>
    <t>between 1.4 MJ/pkm and 195 MJ/pkm depending on car surface</t>
  </si>
  <si>
    <t>at least2012 levels</t>
  </si>
  <si>
    <t xml:space="preserve">In 2012, Mexico's energy intensity (TPES/GDP) was 0.17 toe/thousand 2010 USD </t>
  </si>
  <si>
    <t>73 MtCO2e below BAU in 2020 and 92 MtCO2e below 2030, according to NCI</t>
  </si>
  <si>
    <t>25% (clean energy)</t>
  </si>
  <si>
    <t>30% (clean energy)</t>
  </si>
  <si>
    <t>35% (clean energy)</t>
  </si>
  <si>
    <t>0.20% annual forest coverage decrease improved from 0.24</t>
  </si>
  <si>
    <t>8.75Mt CO2e (total avoided between 2014 and 2018)</t>
  </si>
  <si>
    <t>Mecico's emission in 2012 were 663.42 Mt CO2e (http://edgar.jrc.ec.europa.eu/overview.php)</t>
  </si>
  <si>
    <t>12-36MtCO2e reduction in 2020 and 31-56MtCO2e reduction in 2030</t>
  </si>
  <si>
    <t>13.64MJ/USD</t>
  </si>
  <si>
    <t xml:space="preserve">Russia had a GDP of 873 billion USD in 2005, and energy use of 649 Mtoe (27 TJ). Hence, the energy intensity was 31MJ/USD </t>
  </si>
  <si>
    <t>2.3 MJ/USD</t>
  </si>
  <si>
    <t>Russia used 894 billion kWh of electricity in 2005, and had a GDP of 873 billion USD, hence, an electricity intensity of 3.67 MJ/USD. Applying a 1.6 times reduction -&gt; 2.3 MJ/USD</t>
  </si>
  <si>
    <t>13%-14% (non-fossil)</t>
  </si>
  <si>
    <t>2015 (max)</t>
  </si>
  <si>
    <t>2015 (min)</t>
  </si>
  <si>
    <t>improvement relative to 2015</t>
  </si>
  <si>
    <t>2020 (max)</t>
  </si>
  <si>
    <t>max</t>
  </si>
  <si>
    <t>2020 (min)</t>
  </si>
  <si>
    <t>min</t>
  </si>
  <si>
    <t>passenger cars (average)</t>
  </si>
  <si>
    <t>light duty vehicles</t>
  </si>
  <si>
    <t>2016 (min, low surface)</t>
  </si>
  <si>
    <t>2016 (max, wide surface)</t>
  </si>
  <si>
    <t>2010 emissions LULUCF (FAO)</t>
  </si>
  <si>
    <t>6.5 MtCO2eq reduction relative to baseline</t>
  </si>
  <si>
    <t>= G20 country</t>
  </si>
  <si>
    <t>OTHER</t>
  </si>
  <si>
    <t>Venezuela</t>
  </si>
  <si>
    <t>Iran</t>
  </si>
  <si>
    <t>2025 and 2030, in which emissions will be in a range between 398 and 614 Mt CO2–eq; peak between 2020 and 2025, plateau for approximately a decade and decline in absolute terms thereafter. Range in emissions, not a % reduction</t>
  </si>
  <si>
    <t>reduction of 281 MtCO2e / efficiency improvement 3-5% compared to current technology (sub-critical)</t>
  </si>
  <si>
    <t>0a</t>
  </si>
  <si>
    <t>Unconditional GHG emissions reduction</t>
  </si>
  <si>
    <t>Intended Nationally Determined Contribution</t>
  </si>
  <si>
    <t>GHG emissions reductions (incl. LULUCF)</t>
  </si>
  <si>
    <t>0b</t>
  </si>
  <si>
    <t>Conditional GHG emissions reduction</t>
  </si>
  <si>
    <t>12% blend</t>
  </si>
  <si>
    <t>GHG emissions reduction</t>
  </si>
  <si>
    <t>26%-28%</t>
  </si>
  <si>
    <t>Current budget for purchasing emissions reductions (ERF)</t>
  </si>
  <si>
    <t>Fuel quality -  emissions and efficiency</t>
  </si>
  <si>
    <t>Fuel Quality Standards Act 2000</t>
  </si>
  <si>
    <t xml:space="preserve">Fuel quality standards </t>
  </si>
  <si>
    <t>efficiency and emissions standards</t>
  </si>
  <si>
    <t>2000-</t>
  </si>
  <si>
    <t>Emissions and energy standards</t>
  </si>
  <si>
    <t>Greenhouse and Energy Minimum Standards Act 2012 Australia 2012</t>
  </si>
  <si>
    <t>Product energy and emissions standards</t>
  </si>
  <si>
    <t>varies depeding on product</t>
  </si>
  <si>
    <t>2012-</t>
  </si>
  <si>
    <t>CO2 emissions intensity reduction target</t>
  </si>
  <si>
    <t xml:space="preserve">60%-65% </t>
  </si>
  <si>
    <t>60%-65%</t>
  </si>
  <si>
    <t>Share of non-fossil fuels</t>
  </si>
  <si>
    <t>Non-fossil fuels share in primary energy</t>
  </si>
  <si>
    <t>0c1</t>
  </si>
  <si>
    <t>HCFC-22 emissions reductions</t>
  </si>
  <si>
    <t>0c2</t>
  </si>
  <si>
    <t>0d</t>
  </si>
  <si>
    <t>Forest stock target</t>
  </si>
  <si>
    <t>Forest stock volume increase</t>
  </si>
  <si>
    <t>4.5 billion cubic meters</t>
  </si>
  <si>
    <t>1.1% calculated share of biofuels in 2020 (target will not be met)</t>
  </si>
  <si>
    <t>The biofuel target presented in this policy will not be met. Rather, a share of 1.1% of biofuels in transport has been calculated based on data from USDA report (http://gain.fas.usda.gov/Recent%20GAIN%20Publications/Biofuels%20Annual_Beijing_China%20-%20Peoples%20Republic%20of_9-3-2015.pdf)  (see calculations in Excel file 'CD-LINKS Policy data and settings.xlsx'). Implemented through support for farmers in various regions. 10 million tonnes biodiesel and 2 million tonnes ethanol. Ethanol has an average energy density of 25 MJ/kg and biodiesel has approx. 38 MJ/kg, hence, the target energy obtained from biofuel will be 380 million GJ/ year from biodiesel and 50 million GJ/ year from ethanol, totalling 430 million GJ per year. The total fossil fuel energy consumption will be given by model scenarios.</t>
  </si>
  <si>
    <t>58 GW installed + 30GW under construction</t>
  </si>
  <si>
    <t>4.2 Gt coal/year</t>
  </si>
  <si>
    <t>86.5 EJ/year, 16.3% more coal than burned in 2013 (3.6bn)</t>
  </si>
  <si>
    <t>9e</t>
  </si>
  <si>
    <t>Produced 804 million ton of crude steel in 2015 (http://www.chinamission.be/eng/zgggfz/chneco/t1366481.htm); 1kgce = 29.3MJ. Replaced by new standard in 2013, GB 21256-2013, but didn't find it in english. http://www.worldstdindex.com/class/145_1.htm</t>
  </si>
  <si>
    <t>Produced 448 million ton of coke in 2015 (http://www.coke-china.com/index.php?siteid=2); 1kgce=29.3MJ. Updated in 2013, GB 21342-2013, but could not find document in English. http://www.worldstdindex.com/class/145_1.htm</t>
  </si>
  <si>
    <t>Carbon intensity reduction (per unit GDP)</t>
  </si>
  <si>
    <t>40-45%</t>
  </si>
  <si>
    <t>Implemented through industry standards. This target also appears in the Green Industry Development Plan. The CO2 emissions from industry in China were 4281 MtCO2 in 2008. China's IVA was 42.7% of GDP in 2014 and decreasing.</t>
  </si>
  <si>
    <t>151 EJ/year (exajoules) or 16.3% increase compared to 2015</t>
  </si>
  <si>
    <t>representing an increase of 16.3% from 2015 (http://www.lse.ac.uk/GranthamInstitute/law/13th-five-year-plan/). It is unclear whether this target or that of 4.2 billion tonned from the Energy Development Strategy Plan applies. Using a conversion of TCE=30.30GJ</t>
  </si>
  <si>
    <t>432MJ/m2 (current standard) for 30% of new buildings; 1950 million sqm were built in 2012.</t>
  </si>
  <si>
    <t>China’s residential and commercial buildings consumed 0.41 GJ/m2 and 0.25 GJ/m2 of final energy in 2005, but this value increased drastically over time (Eom et al 2012). Surface of new buildings per year, expected to grow rapidly: http://www.stats.gov.cn/tjsj/ndsj/2013/html/Z1131E.htm. Here 'green'means that it fulfills the requirements of the Chinese Three Star System (http://www.diva-portal.org/smash/get/diva2:735240/FULLTEXT01.pdf) which are lower than LEED standards. Comercial buildings energy intensity under current codes is 120 kWh/m2 in 2015 (http://www.paulsoninstitute.org/wp-content/uploads/2015/10/Building-Code-Roadmap-Oct-2015_vfinal_EN.pdf). Given current standards, China would undergo a reduction in energy use from buildings of 13% by the end of the century, based on a GCAM model(http://www.sciencedirect.com.ezproxy.library.wur.nl/science/article/pii/S0301421513011166). Buildings demanded 443 Mtoe in 2009, accounting for about 28% of the country’s total final energy demand. Over the last several years, China has added 1.8-2.0 billion m2 of floorspace annually, establishing the world’s largest market for new construction [7,8]urban and rural residential buildings expanded at the average annual rates of 7% and 2%, respectively, in the past decade. (http://www.sciencedirect.com.ezproxy.library.wur.nl/science/article/pii/S036054421400005X) As of 2006, there were a total of 21,410 Chinese national GB standards, among which approximately 15% were mandatory, and 85% voluntary. In order to create the economic incentive of constructing a green buildings, the Chinese government grants subsidies to buildings with two star and three star with 45 RMB per sqm. and 80 RMB per sqm. respectively. I could not find what is meant here by 'green-building' http://www.diva-portal.org/smash/get/diva2:735240/FULLTEXT01.pdf</t>
  </si>
  <si>
    <t>Energy intensity reduction (per unit GDP)</t>
  </si>
  <si>
    <t>MJ/GDP</t>
  </si>
  <si>
    <t xml:space="preserve">The forest cover target was determined as the respective percentage of the total country area and is in line with current forest coverage. China's National Forest Inventories determined an average stock volume of 73 m3 per ha. Hence, the final stock volume was determined as 221 million ha* 73 m3 /ha (https://forestecosyst.springeropen.com/articles/10.1186/s40663-015-0047-2) Backed by various policy instruments, such as subsidies and fines. </t>
  </si>
  <si>
    <t>Turn marginal cropland to forest or grassland</t>
  </si>
  <si>
    <t>Marginal cropland to be turned to grassland or forest</t>
  </si>
  <si>
    <t>1 mil ha</t>
  </si>
  <si>
    <t>1 mil ha (turned to forest or grassland</t>
  </si>
  <si>
    <t xml:space="preserve">Backed by various financial, fiscal and regulatory policy instruments. </t>
  </si>
  <si>
    <t>Increase forest area and stock volume</t>
  </si>
  <si>
    <t xml:space="preserve">40 mil ha and 1.3 mil m3 </t>
  </si>
  <si>
    <t>Domestic GHG emissions reduction (incl LULUCF)</t>
  </si>
  <si>
    <t xml:space="preserve">Energy consumption reduction </t>
  </si>
  <si>
    <t>20% (max. 1474 Mtoe primary energy in 2020)</t>
  </si>
  <si>
    <t>Energy consumption reduction</t>
  </si>
  <si>
    <t>BAU here is defined as "projections of future energy consumption based on the current criteria" (http://www.consilium.europa.eu/uedocs/cms_data/docs/pressdata/en/ec/145397.pdf),  based on European Commission's 2007 Energy Baseline. The corresponding values are 1369 Mtoe primary energy consumption and 1039 Mtoe final energy consumption (https://www.google.nl/url?sa=t&amp;rct=j&amp;q=&amp;esrc=s&amp;source=web&amp;cd=5&amp;cad=rja&amp;uact=8&amp;ved=0ahUKEwieisq8xNXPAhXDNhoKHVMNBKkQFgg2MAQ&amp;url=http%3A%2F%2Fwww.eea.europa.eu%2Fpublications%2Ftrends-and-projections-in-europe-2015%2Fdownload&amp;usg=AFQjCNG4otlBs_4tqtBEZuTNfRCPUt1Fdw&amp;sig2=kgMrDYGDcrrmwVV0aLCCRw&amp;bvm=bv.135475266,d.d2s). The main strategy document on the EC website is not loading. One implementation policy is Eco-design (Directive 2009/125/EC establishing a framework for the setting of ecodesign requirements for energy-related products (recast)) European Union 2009.</t>
  </si>
  <si>
    <t>Verified emissions of greenhouse gases from stationary installations amounted to 1800 million tonnes of CO2-equivalent in 2015 (http://ec.europa.eu/clima/news/articles/news_2016052001_en.htm). This directive aims to achieve the 20% emissions reduction target. The Community-wide quantity of allowances should decrease in a linear manner calculated from the mid-point of the period from 2008 to 2012.</t>
  </si>
  <si>
    <t>New buildings near zero (both residential and non-residential)</t>
  </si>
  <si>
    <t xml:space="preserve">Appliances energy efficiency standards </t>
  </si>
  <si>
    <t>Eco-design (Directive 2009/125/EC establishing a framework for the setting of ecodesign requirements for energy-related products (recast)) European Union 2009</t>
  </si>
  <si>
    <t>Back energy efficiency target</t>
  </si>
  <si>
    <t>Illegal timber regulation enforcement</t>
  </si>
  <si>
    <t>Timber Regulation (No 995/2010)</t>
  </si>
  <si>
    <t>Enforcing ban on illegal logging</t>
  </si>
  <si>
    <t>Emissions reduction target</t>
  </si>
  <si>
    <t>Use median energy intensity standard of 390MJ/m3/a. Assuming an average floor heinght of 2.7m, than the energy use per surface area is 390*2.7 = 1053 MJ/m3/a. Average energy use in 2006 was 1190MJ/m2, given 4.08 billion sqm buildings area (residential and non-residential), and 116 Mtoe use (http://www.pnl.gov/main/publications/external/technical_reports/PNNL-17849.pdf)</t>
  </si>
  <si>
    <t>Forest managements emissions certificates</t>
  </si>
  <si>
    <t>J-Credit Scheme</t>
  </si>
  <si>
    <t>Certified emissions reductions from forest management</t>
  </si>
  <si>
    <t>Unconditional emissiosn reductions</t>
  </si>
  <si>
    <t>Emissiosn reductions</t>
  </si>
  <si>
    <t>Baselines: 2020: 906 MtCO2e (792 GHG and 114 BC / 127,177 metric tons) 2025: 1013 MtCO2e (888 GHG and 125 BC / 138,489 metric tons) 2030: 1110 MtCO2e (973 GHG and 137 BC / 152,332 metric tons)"</t>
  </si>
  <si>
    <t>This commitment implies a reduction of 22% of GHG and a reduction of 51% of Black Carbon. This commitment implies a net emissions peak starting from 2026</t>
  </si>
  <si>
    <t>0c</t>
  </si>
  <si>
    <t>Conditional emissions reductions</t>
  </si>
  <si>
    <t>Deforestation rate</t>
  </si>
  <si>
    <t>Renewable energy auction scheme</t>
  </si>
  <si>
    <t>Renewable energy auction scheme Mexico 2016</t>
  </si>
  <si>
    <t>Auction scheme for wind and solar</t>
  </si>
  <si>
    <t>on average $45/MWh for solar and $48/MWh for wind at the first auction</t>
  </si>
  <si>
    <t>Gasoline heavy duty vehicle standards</t>
  </si>
  <si>
    <t>Gasoline Heavy Duty Vehicle Emissions Standards Mexico 2012</t>
  </si>
  <si>
    <t>Emissions standards for heavy duty vehicles</t>
  </si>
  <si>
    <t>hydrocarbons (both total and non-methane only), CO and other emissions limits</t>
  </si>
  <si>
    <t>Not sure how to translate to CO2e</t>
  </si>
  <si>
    <t>Emissions reductions target (medium term)</t>
  </si>
  <si>
    <t>Emissions reductions target</t>
  </si>
  <si>
    <t>25%-30%</t>
  </si>
  <si>
    <t>Emissions reduction target (short term)</t>
  </si>
  <si>
    <t>Greenhouse Gas Emission Reduction (Presidential Decree 752) Russian Federation 2013</t>
  </si>
  <si>
    <t>Following this decree, a governmental resolution on implementation of the decree has been adopted, consisting of 30 tasks, some of which are already implemented and others that still require adoption of methodologies, and rules. This resolution required provinces to have targets (for energy and industry) and encourage long term action.</t>
  </si>
  <si>
    <t>Decrease of energy intensity (per unit GDP)</t>
  </si>
  <si>
    <t>Expected emissions reductions</t>
  </si>
  <si>
    <t>Intended Nationally Determined Contribution: Saudi Arabia</t>
  </si>
  <si>
    <t>up to 130 million tons of CO2eq annually</t>
  </si>
  <si>
    <t>by 2030</t>
  </si>
  <si>
    <t xml:space="preserve"> 130 million tons of CO2eq annually</t>
  </si>
  <si>
    <t>Saudi Arabia GHG emissions: 205 MtCO2e in1990, and 549 MtCO2e in 2012 (http://edgar.jrc.ec.europa.eu/overview.php)</t>
  </si>
  <si>
    <t>1.41-2.04 MJ/pkm for new light trucks, 1.18-1.57 MJ/pkm for passenger cars</t>
  </si>
  <si>
    <t>Renewable Energy Law (Feed-in tariffs)</t>
  </si>
  <si>
    <t>Renewable Energy Law Turkey 2011</t>
  </si>
  <si>
    <t>Feed-in tariffs for renewable energy</t>
  </si>
  <si>
    <t>2005-2015</t>
  </si>
  <si>
    <t>0.073 USD/kWh for wind and hydro, 0.105 USD/kWh for geothermal, 0.133 USD/kWh for biomass, biogas and solar PV</t>
  </si>
  <si>
    <t>Supports the 30% renewable electricity target</t>
  </si>
  <si>
    <t>Hydro power capacity</t>
  </si>
  <si>
    <t>Geothermal power capacity</t>
  </si>
  <si>
    <t>Biomass power capacity</t>
  </si>
  <si>
    <t>34 GW</t>
  </si>
  <si>
    <t>26-28% reduction</t>
  </si>
  <si>
    <t>21% reduction</t>
  </si>
  <si>
    <t>Planned ETS to help deliver this. Under consideration, no information available yet on type of ETS, cap and trajectory, GHG covered etc.</t>
  </si>
  <si>
    <t>Peak 2020-2025,</t>
  </si>
  <si>
    <t>2025-2030</t>
  </si>
  <si>
    <t xml:space="preserve"> lower limit 398 MtCO2e, upper limit-583 MtCO2e for 2020 </t>
  </si>
  <si>
    <t>upper limit 614 MtCO2e for 2025</t>
  </si>
  <si>
    <t xml:space="preserve"> plateau at 398-614 up to 10 years after peak,</t>
  </si>
  <si>
    <t xml:space="preserve"> decline from 2036 onwards to 212-428 MtCO2e by 2050</t>
  </si>
  <si>
    <t>GHG emissions (excl LULUCF)</t>
  </si>
  <si>
    <t>BAU (850.6 MtCO2e)</t>
  </si>
  <si>
    <t>(Park, 2015)</t>
  </si>
  <si>
    <t>Emissions intensity (GHG/GDP) reduction</t>
  </si>
  <si>
    <t>33-35%</t>
  </si>
  <si>
    <t>CO2e emissions ('additional carbon sink')</t>
  </si>
  <si>
    <t>2.5-3 Gton</t>
  </si>
  <si>
    <t>Cumulative Sequestration target</t>
  </si>
  <si>
    <t>37%/43 reduction</t>
  </si>
  <si>
    <t>2025/2030</t>
  </si>
  <si>
    <t>=G20 country</t>
  </si>
  <si>
    <t>ecoEnergy Efficiency commercial/residential buildings</t>
  </si>
  <si>
    <t>13 MtCO2e (cumulative)</t>
  </si>
  <si>
    <t>2 MtCO2e (cumulative)</t>
  </si>
  <si>
    <t>20,000 hectares afforestation</t>
  </si>
  <si>
    <t>AFOLU</t>
  </si>
  <si>
    <t>GW</t>
  </si>
  <si>
    <t>Other</t>
  </si>
  <si>
    <t>Carbon Farming Initiative</t>
  </si>
  <si>
    <t>4.2 MtCO2e</t>
  </si>
  <si>
    <t>Conservation of 4.7 mn ha of native forests</t>
  </si>
  <si>
    <t>Cumulative emission reductions of 1.3 MtCO2</t>
  </si>
  <si>
    <t>2 MtCO2e</t>
  </si>
  <si>
    <t>3.5 MtCO2e</t>
  </si>
  <si>
    <t>Reforestation of 12 mn ha</t>
  </si>
  <si>
    <t>50-60 MtCO2 sequestration</t>
  </si>
  <si>
    <t>See document on National Misssion for Green India</t>
  </si>
  <si>
    <t>reduce annual deforestation rate by 20-50Mm3</t>
  </si>
  <si>
    <t>Avoided emissions from forestry sector</t>
  </si>
  <si>
    <t>REDD+ projects implemented</t>
  </si>
  <si>
    <t>10 MtCO2</t>
  </si>
  <si>
    <t>21.23 MtCO2e reduction</t>
  </si>
  <si>
    <t>See SelectedAFOLUpolicies_CDLINKS.xlsx, covers same emissions as general law for Sustainable Forest Development</t>
  </si>
  <si>
    <t>39.6 MtCO2e</t>
  </si>
  <si>
    <t>Variable</t>
  </si>
  <si>
    <t>Value</t>
  </si>
  <si>
    <t>Unit</t>
  </si>
  <si>
    <t>%</t>
  </si>
  <si>
    <t>End year</t>
  </si>
  <si>
    <t>Forest conservation (area)</t>
  </si>
  <si>
    <t>ha</t>
  </si>
  <si>
    <t>Mt CO2</t>
  </si>
  <si>
    <t>Forest conservation (Cumulative CO2 reduction)</t>
  </si>
  <si>
    <t>MW</t>
  </si>
  <si>
    <t>Electricity capacity (added) | Biomass</t>
  </si>
  <si>
    <t>Heat capacity (added) | Biomass</t>
  </si>
  <si>
    <t>Share of renewables (electricity production)</t>
  </si>
  <si>
    <t>Renewable electricity production</t>
  </si>
  <si>
    <t>GWh</t>
  </si>
  <si>
    <t>Afforestation (area)</t>
  </si>
  <si>
    <t>Mt CO2e</t>
  </si>
  <si>
    <t>$/liter</t>
  </si>
  <si>
    <t>Fuel tax (biodiesel)</t>
  </si>
  <si>
    <t>Fuel tax (diesel and gasoline)</t>
  </si>
  <si>
    <t>Share of renewables (TPES) | Including hydro</t>
  </si>
  <si>
    <t>Access to electricity | Population</t>
  </si>
  <si>
    <t>Share of renewables (electricity production) | Excluding hydro</t>
  </si>
  <si>
    <t>Electricity capacity | Biomass</t>
  </si>
  <si>
    <t>Electricity capacity | Hydro</t>
  </si>
  <si>
    <t>Electricity capacity | Small hydro</t>
  </si>
  <si>
    <t>Electricity capacity | Bioenergy</t>
  </si>
  <si>
    <t>Electricity capacity | Solar</t>
  </si>
  <si>
    <t>Electricity capacity | Wind</t>
  </si>
  <si>
    <t>Ban of incandescent light bulbs</t>
  </si>
  <si>
    <t>Biofuel share in transport | Bioethanol + biodiesel</t>
  </si>
  <si>
    <t>Biofuel share in gasoline | Bioethanol</t>
  </si>
  <si>
    <t>Biofuel share in diesel | Biodiesel</t>
  </si>
  <si>
    <t>Reforestation (area)</t>
  </si>
  <si>
    <t>Power plant standard | New power plants</t>
  </si>
  <si>
    <t>g CO2/kWh</t>
  </si>
  <si>
    <t>Power plant standard | New power plants | Change in CO2 intensity (kg CO2/kWh)</t>
  </si>
  <si>
    <t>Emissions | HFCs</t>
  </si>
  <si>
    <t>Emissions | LULUCF</t>
  </si>
  <si>
    <t>Emissions | Agriculture</t>
  </si>
  <si>
    <t>Emissions | LULUCF | CO2</t>
  </si>
  <si>
    <t>Emissions | Buildings</t>
  </si>
  <si>
    <t>Baseline</t>
  </si>
  <si>
    <t>Class</t>
  </si>
  <si>
    <t>Alternate interpretation</t>
  </si>
  <si>
    <t>Optional</t>
  </si>
  <si>
    <t>Cap on primary energy consumption</t>
  </si>
  <si>
    <t>EJ</t>
  </si>
  <si>
    <t>Gtce/year (billion tons of standard coal equivalent per year)</t>
  </si>
  <si>
    <t>EJ/year</t>
  </si>
  <si>
    <t>Cap on coal consumption</t>
  </si>
  <si>
    <t>Gt/year</t>
  </si>
  <si>
    <t>Cap on coal consumption | Average raw coal</t>
  </si>
  <si>
    <t>Share of gas in TPES</t>
  </si>
  <si>
    <t>Share of non-fossil energy in TPES</t>
  </si>
  <si>
    <t>Power plant standard | Coal</t>
  </si>
  <si>
    <t>gCO2/kWh</t>
  </si>
  <si>
    <t>Electricity capacity | Nuclear</t>
  </si>
  <si>
    <t>Electricity capacity | Solar PV</t>
  </si>
  <si>
    <t>Share of renewables (electricity production) | Including hydro</t>
  </si>
  <si>
    <t>0.47 - 0.60</t>
  </si>
  <si>
    <t>Feed-in tariff | Onshore wind (depending on region)</t>
  </si>
  <si>
    <t>yuan/kWh</t>
  </si>
  <si>
    <t>0.75 - 0.85</t>
  </si>
  <si>
    <t>Feed-in tariff | Offshore wind (inter-tidal zone / offshore wind power)</t>
  </si>
  <si>
    <t>0.80, 0.88, 0.98</t>
  </si>
  <si>
    <t>Feed-in tariff | Solar PV (3 regions)</t>
  </si>
  <si>
    <t>Industrial output (MtCO2/IVA (US$2005))</t>
  </si>
  <si>
    <t>Energy use per industrial value added (MJ/IVA (US$2005))</t>
  </si>
  <si>
    <t>Share of newly constructed buildings meeting standard (439 MJ/M2)</t>
  </si>
  <si>
    <t>Guideline: determine based on your BAU scenario what the energy intensity (MJ/m2) is, assuming 70% will have on average the BAU intensity and 30% the standard intensity set by this policy</t>
  </si>
  <si>
    <t>GJ/year</t>
  </si>
  <si>
    <t>Number</t>
  </si>
  <si>
    <t>Electric and plug-in vehicles | Number</t>
  </si>
  <si>
    <t>Electric and plug-in vehicles | Share</t>
  </si>
  <si>
    <t>Electric and plug-in vehicles | Production | Number</t>
  </si>
  <si>
    <t>Electric and plug-in vehicles | Production | Share of new cars</t>
  </si>
  <si>
    <t>Number/year</t>
  </si>
  <si>
    <t>Forest coverage (area)</t>
  </si>
  <si>
    <t>Forest coverage (volume)</t>
  </si>
  <si>
    <t>m3</t>
  </si>
  <si>
    <t>Economy-wide | Emissions</t>
  </si>
  <si>
    <t>Economy-wide | Emissions | ETS-sector (industry/electricity)</t>
  </si>
  <si>
    <t>Emissions | Non-CO2 and fluorinated gases</t>
  </si>
  <si>
    <t>Share of renewables (TPES)</t>
  </si>
  <si>
    <t>Energy consumption</t>
  </si>
  <si>
    <t>Mtoe</t>
  </si>
  <si>
    <t>Energy consumption | Maximum primary energy</t>
  </si>
  <si>
    <t>Building standard | New buildings</t>
  </si>
  <si>
    <t>MJ/m2</t>
  </si>
  <si>
    <t>Building standard | Public buildings</t>
  </si>
  <si>
    <t>Share of renewables in energy use in transport (biofuels and renewable electricity)</t>
  </si>
  <si>
    <t>Power plant standard | New power plants | Coal</t>
  </si>
  <si>
    <t>Minimal 47% efficiency</t>
  </si>
  <si>
    <t>Energy consumption | Industry</t>
  </si>
  <si>
    <t>PJ</t>
  </si>
  <si>
    <t>Forest coverage (area) | Increase</t>
  </si>
  <si>
    <t>Forest coverage (area) | Emissions (cumulative)</t>
  </si>
  <si>
    <t>TPES import | Gas</t>
  </si>
  <si>
    <t>Share of renewables (electricity consumption) | Non-fossil | Including nuclear</t>
  </si>
  <si>
    <t>Electricity capacity (added) | Hydro</t>
  </si>
  <si>
    <t>Electricity capacity (added) | Geothermal</t>
  </si>
  <si>
    <t>Electricity capacity (added) | Wind/solar</t>
  </si>
  <si>
    <t>Installed capacity in 2015: 1.2 GW geothermal</t>
  </si>
  <si>
    <t>Installed capacity in 2015: 4.4 GW hydro</t>
  </si>
  <si>
    <t>Installed capacity in 2015: 0.5 GW solar, 1.1 GW wind</t>
  </si>
  <si>
    <t>-20 to -50 million</t>
  </si>
  <si>
    <t>m3/year</t>
  </si>
  <si>
    <t>Building standard</t>
  </si>
  <si>
    <t>MJ/m2/year</t>
  </si>
  <si>
    <t>2015: 1.29 MJ/pkm</t>
  </si>
  <si>
    <t>Forest sink</t>
  </si>
  <si>
    <t>JPY/kg</t>
  </si>
  <si>
    <t>2040 + 760</t>
  </si>
  <si>
    <t>JPY/kl</t>
  </si>
  <si>
    <t>Crude oil tax (added climate mitigation tax</t>
  </si>
  <si>
    <t>Coal tax (added climate mitigation tax</t>
  </si>
  <si>
    <t>700 + 670</t>
  </si>
  <si>
    <t>JPY/t</t>
  </si>
  <si>
    <t>%/year</t>
  </si>
  <si>
    <t>For industries consuming more than 1500kL oil equivalent annually (90% of the sector)</t>
  </si>
  <si>
    <t>Yen</t>
  </si>
  <si>
    <t>Yen 160.000 per unit; down by Yen 5mil. from 2015</t>
  </si>
  <si>
    <t>JPY/L</t>
  </si>
  <si>
    <t>Electricity capacity | Onshore wind</t>
  </si>
  <si>
    <t>Electricity capacity | Offshore wind</t>
  </si>
  <si>
    <t>Electricity capacity | Waste</t>
  </si>
  <si>
    <t>Fuel efficiency | Light-duty vehicles | New cars</t>
  </si>
  <si>
    <t>Economy-wide | Energy intensity</t>
  </si>
  <si>
    <t>MJ/USD(2010)</t>
  </si>
  <si>
    <t>Same as or below 2012 levels</t>
  </si>
  <si>
    <t>Emissions | Oil and gas production | Venting</t>
  </si>
  <si>
    <t>US$/t</t>
  </si>
  <si>
    <t>Carbon tax | Fossil fuel production</t>
  </si>
  <si>
    <t>1.4 - 1.95</t>
  </si>
  <si>
    <t>Deforestation | Volume</t>
  </si>
  <si>
    <t>Deforestation | Emissions</t>
  </si>
  <si>
    <t>Forestry credits | Increase</t>
  </si>
  <si>
    <t>95% of petroleum gas</t>
  </si>
  <si>
    <t>1.41-2.04</t>
  </si>
  <si>
    <t>Fuel efficiency | Light trucks | New</t>
  </si>
  <si>
    <t>1.18-1.57</t>
  </si>
  <si>
    <t>Additions 2010-2030, same as total capacity by 2030</t>
  </si>
  <si>
    <t>Electricity capacity | Solar CSP</t>
  </si>
  <si>
    <t>Share of renewables (electricity capacity) | Excluding hydro</t>
  </si>
  <si>
    <t>Share of renewables (electricity capacity) | Including hydro</t>
  </si>
  <si>
    <t>Check if that is sufficient to meet other target: 20.5% REN in final energy consumption by 2023</t>
  </si>
  <si>
    <t>Electricity capacity | Geothermal</t>
  </si>
  <si>
    <t>Energy intensity (GJ/GDP) | Industry</t>
  </si>
  <si>
    <t>Oil import</t>
  </si>
  <si>
    <t>Emissions | Oil and gas production | CH4</t>
  </si>
  <si>
    <t>Energy intensity (MJ/m2) | Buildings | Appliances</t>
  </si>
  <si>
    <t>Final electricity consumption | Buildings | Residential | Appliances</t>
  </si>
  <si>
    <t>Final electricity consumption | Buildings | Commercial | Appliances</t>
  </si>
  <si>
    <t>10846 PJ</t>
  </si>
  <si>
    <t>8673 PJ</t>
  </si>
  <si>
    <t>Final electricity consumption | Buildings | Total | Appliances</t>
  </si>
  <si>
    <t>19519 PJ</t>
  </si>
  <si>
    <t>Energy savings | Buildings</t>
  </si>
  <si>
    <t>PJ/year</t>
  </si>
  <si>
    <t>Biofuel share in transport | Bioethanol + biodiesel | Volume</t>
  </si>
  <si>
    <t>Biofuel share in transport | Bioethanol + biodiesel | Energy</t>
  </si>
  <si>
    <t>See table 29 from Expansion plan. Assumed to be implemented as Brazil has REN policies in place in both energy supply and transport sector</t>
  </si>
  <si>
    <t>NoPolicy</t>
  </si>
  <si>
    <t>heavy-duty trucks</t>
  </si>
  <si>
    <t>medium-duty trucks</t>
  </si>
  <si>
    <t>15 to 25 l/100km for medium-duty trucks and 28 to 45.5 l/100km</t>
  </si>
  <si>
    <t>Economy-wide | Energy-intensity (TPES/GDP)</t>
  </si>
  <si>
    <t>Energy consumption | Industry (incl electricity)</t>
  </si>
  <si>
    <t>9.7 to 15.6</t>
  </si>
  <si>
    <t>Reductions due to building codes in new buildings</t>
  </si>
  <si>
    <t>-36 to -12</t>
  </si>
  <si>
    <t>250 PJ Annual energy savings by 2020</t>
  </si>
  <si>
    <t>350 PJ Annual energy savings by 2030</t>
  </si>
  <si>
    <t>CAT0</t>
  </si>
  <si>
    <t>CH4</t>
  </si>
  <si>
    <t>CAT5</t>
  </si>
  <si>
    <t>KYOTOGHGAR4</t>
  </si>
  <si>
    <t>N2O</t>
  </si>
  <si>
    <t>Total GHG (excl LULUCF CO2)</t>
  </si>
  <si>
    <t>LULUCF CO2</t>
  </si>
  <si>
    <t>Total GHG (incl LULUCF CO2)</t>
  </si>
  <si>
    <t>PRIMAP</t>
  </si>
  <si>
    <t>PRIMAP/FAOSTAT</t>
  </si>
  <si>
    <t>FAOSTAT</t>
  </si>
  <si>
    <t>Earth</t>
  </si>
  <si>
    <t>2010 emissions (incl LULUCF) (PRIMAP/FAOSTAT)</t>
  </si>
  <si>
    <t>PRIMAP/FAOSTAT (AR4)</t>
  </si>
  <si>
    <t>2005 emissions (incl LULUCF) (PRIMAP/FAOSTAT)</t>
  </si>
  <si>
    <t>(CD-LINKS) Emissions "conditional" vs 2010 (incl LULUCF)2</t>
  </si>
  <si>
    <t>(CD-LINKS) Emissions "conditional" vs 2010 (excl LULUCF)2</t>
  </si>
  <si>
    <t>(CD-LINKS) Emissions "conditional" vs 2005 (incl LULUCF)</t>
  </si>
  <si>
    <t>(CD-LINKS) Emissions "conditional" vs 2005 (excl LULUCF)</t>
  </si>
  <si>
    <t>2005 emissions LULUCF (FAO)</t>
  </si>
  <si>
    <t>Emissions|Kyoto Gases|Incl. LULUCF</t>
  </si>
  <si>
    <t>Emissions|Kyoto Gases|Excl. LULUCF</t>
  </si>
  <si>
    <t>43% below 2005 by 2030</t>
  </si>
  <si>
    <t>MtCO2e</t>
  </si>
  <si>
    <t>Peak</t>
  </si>
  <si>
    <t>After</t>
  </si>
  <si>
    <t>Between</t>
  </si>
  <si>
    <t>emissions will be in a range between 398 and 614 Mt CO2–eq in 2025 and 2030; peak between 2020 and 2025, plateau for approximately a decade and decline in absolute terms thereafter</t>
  </si>
  <si>
    <t>TPES|Share of non-fossil fuels</t>
  </si>
  <si>
    <t>Forest stock volume</t>
  </si>
  <si>
    <t>4.5 billion</t>
  </si>
  <si>
    <t>Emissions|CO2</t>
  </si>
  <si>
    <t>Before</t>
  </si>
  <si>
    <t>Electricity capacity|Non-fossil fuels|Cumulative</t>
  </si>
  <si>
    <t>Additional carbon sink</t>
  </si>
  <si>
    <t>2.5-3</t>
  </si>
  <si>
    <t>billion tCO2eq</t>
  </si>
  <si>
    <t>Through additional forest and tree cover</t>
  </si>
  <si>
    <t>133-166 Mton</t>
  </si>
  <si>
    <t>Emissions|Kyoto Gases|AFOLU</t>
  </si>
  <si>
    <t>88.5 GW</t>
  </si>
  <si>
    <t>5.6 GW</t>
  </si>
  <si>
    <t>13 GW</t>
  </si>
  <si>
    <t>0 GW</t>
  </si>
  <si>
    <t>16.5 GW</t>
  </si>
  <si>
    <t>0.91 MJ/pkm</t>
  </si>
  <si>
    <t>Cap of tradable renewable electricity value</t>
  </si>
  <si>
    <t>0.19 to 0.29 MJ/tkm for medium-duty trucks and 0.06 to 0.13 MJ/tkm for heavy-duty trucks in 2014</t>
  </si>
  <si>
    <t>1% annual decrease in energy consumption for industries consuming more than 1500kL oil equivalent annually (90% of the sector)</t>
  </si>
  <si>
    <t>Investment costs deduction through tax relief</t>
  </si>
  <si>
    <t>0.19 - 0.29</t>
  </si>
  <si>
    <t>0.08 - 0.13</t>
  </si>
  <si>
    <t>target adjusted to 13.5% energy efficiency improvement by 2020 (check)</t>
  </si>
  <si>
    <t># Blue: different interpretation of the same target in the row above (Class: 'Alternate interpretation'). Orange: optional policy instruments (Class: 'Optional'). Green: planned policies for optional NPip scenario</t>
  </si>
  <si>
    <t>Economy-wide|Energy productivity increase (GDP/PJ)</t>
  </si>
  <si>
    <t>GDP ($M)/PJ</t>
  </si>
  <si>
    <t>Share of renewables (TPES )</t>
  </si>
  <si>
    <t>Biofuel share in transport|Bioethanol + biodiesel</t>
  </si>
  <si>
    <t>Electricity capacity|Small hydro</t>
  </si>
  <si>
    <t>Electricity capacity|Biomass</t>
  </si>
  <si>
    <t>Share of renewables (TPES)|Including nuclear</t>
  </si>
  <si>
    <t>Emissions|Kyoto Gases|Including LULUCF</t>
  </si>
  <si>
    <t>Electricity capacity|Solar</t>
  </si>
  <si>
    <t>Electricity capacity|Wind</t>
  </si>
  <si>
    <t>See 'High impact policies' 11a, 11c, 11d, 11e for specific energy source shares, if needed</t>
  </si>
  <si>
    <t>gCO2/tkm</t>
  </si>
  <si>
    <t>CO2/l</t>
  </si>
  <si>
    <t>Energy consumption | Maximum final energy</t>
  </si>
  <si>
    <t>Updated number (wrong calculation in previous round)</t>
  </si>
  <si>
    <t>1.88 MJ/tkm</t>
  </si>
  <si>
    <t>1.38 MJ/tkm</t>
  </si>
  <si>
    <t>1.25 MJ/tkm</t>
  </si>
  <si>
    <t>0.92 MJ/tkm</t>
  </si>
  <si>
    <t>Expected to result in 32% reduction in GHG emissions from electricity sector, between 2005 and 2030</t>
  </si>
  <si>
    <t>Delayed by one year</t>
  </si>
  <si>
    <t>Proxy needed</t>
  </si>
  <si>
    <t>Implemented in IMAGE/GLOBIOM/MAgPIE?</t>
  </si>
  <si>
    <t>Target exactly reached (+-20%)?</t>
  </si>
  <si>
    <t>Npi</t>
  </si>
  <si>
    <t>Relative</t>
  </si>
  <si>
    <t>Absolute (EJ)</t>
  </si>
  <si>
    <t>Absolute/GDP (TJ/million 2010$)</t>
  </si>
  <si>
    <t xml:space="preserve">Year </t>
  </si>
  <si>
    <t>over</t>
  </si>
  <si>
    <t>RSAM</t>
  </si>
  <si>
    <t>Secondary Energy|Electricity|Biomass</t>
  </si>
  <si>
    <t>under</t>
  </si>
  <si>
    <t>Final Energy|Transportation|Liquids|Biomass</t>
  </si>
  <si>
    <t>land-use</t>
  </si>
  <si>
    <t>OCE</t>
  </si>
  <si>
    <t>Final Energy|Transportation|Liquids|Oil</t>
  </si>
  <si>
    <t>Secondary Energy|Electricity|Hydro</t>
  </si>
  <si>
    <t>Secondary Energy|Electricity|Solar</t>
  </si>
  <si>
    <t>Secondary Energy|Electricity|Wind</t>
  </si>
  <si>
    <t>Final Energy|Residential and Commercial|Electricity</t>
  </si>
  <si>
    <t>Final Energy|Transportation|Passenger</t>
  </si>
  <si>
    <t>Final Energy|Transportation|Freight</t>
  </si>
  <si>
    <t>Secondary Energy|Electricity|Nuclear</t>
  </si>
  <si>
    <t>Secondary Energy|Electricity|Solar|PV</t>
  </si>
  <si>
    <t>Secondary Energy|Electricity|Wind|Onshore</t>
  </si>
  <si>
    <t>Secondary Energy|Electricity|Wind|Offshore</t>
  </si>
  <si>
    <t>Final Energy|Residential and Commercial</t>
  </si>
  <si>
    <t>Final Energy|Transportation|Electricity</t>
  </si>
  <si>
    <t>WEU</t>
  </si>
  <si>
    <t>over (13% instead of 10%_)</t>
  </si>
  <si>
    <t>INDIA</t>
  </si>
  <si>
    <t>Final Energy|Industry</t>
  </si>
  <si>
    <t>INDO</t>
  </si>
  <si>
    <t>Secondary Energy|Electricity</t>
  </si>
  <si>
    <t>! Secondary Energy|Electricity|Solar  +  Secondary Energy|Electricity|Wind</t>
  </si>
  <si>
    <t>JAP</t>
  </si>
  <si>
    <t>Primary Energy|Oil</t>
  </si>
  <si>
    <t>Primary Energy|Coal</t>
  </si>
  <si>
    <t>Primary Energy|Gas</t>
  </si>
  <si>
    <t>Primary Energy</t>
  </si>
  <si>
    <t>Primary Energy|Fossil</t>
  </si>
  <si>
    <t>SAF</t>
  </si>
  <si>
    <t>Secondary Energy|Electricity|Solar|CSP</t>
  </si>
  <si>
    <t>Primary Energy|Coal|Electricity</t>
  </si>
  <si>
    <t>Fuel efficiency | Medium-duty trucks|New</t>
  </si>
  <si>
    <t>Fuel efficiency | Heavy-duty trucks|New</t>
  </si>
  <si>
    <r>
      <t>Fuel efficiency | Light-duty vehicles</t>
    </r>
    <r>
      <rPr>
        <sz val="11"/>
        <color rgb="FFFF0000"/>
        <rFont val="Calibri"/>
        <family val="2"/>
        <scheme val="minor"/>
      </rPr>
      <t>|New</t>
    </r>
  </si>
  <si>
    <t>Energy consumption|Final Energy</t>
  </si>
  <si>
    <t>Includes two-wheelers</t>
  </si>
  <si>
    <r>
      <t>8</t>
    </r>
    <r>
      <rPr>
        <sz val="11"/>
        <color rgb="FFFF0000"/>
        <rFont val="Calibri"/>
        <family val="2"/>
        <scheme val="minor"/>
      </rPr>
      <t>2</t>
    </r>
    <r>
      <rPr>
        <sz val="11"/>
        <rFont val="Calibri"/>
        <family val="2"/>
        <scheme val="minor"/>
      </rPr>
      <t>0 gCO2/kWh</t>
    </r>
  </si>
  <si>
    <t>-3.34 Mtoe / -12.54 Mton CO2e</t>
  </si>
  <si>
    <t>Value of indicator</t>
  </si>
  <si>
    <t>Plan exists as decree. Implemented, for instance, through Law 26.473 Prohibiting commercialisation of incandescent light bulbs, although this is insufficient</t>
  </si>
  <si>
    <t>Linked to Renewable Energy Act</t>
  </si>
  <si>
    <t xml:space="preserve">Implemented because of backing instruments: Greenhouse and Energy Minimum Standards Act 2012 </t>
  </si>
  <si>
    <t>This is an overall industry plan, but it has not yet been translated to specific sub-sectors or explicit measures</t>
  </si>
  <si>
    <t>Interminitry council for sugar and ethanol (CIMA) (04/03/2015)
http://www.casacivil.gov.br/central-de-conteudos/noticias/2015/marco/mistura-de-etanol-na-gasolina-sera-de-27-a-partir-de-16-de-marco</t>
  </si>
  <si>
    <t>Law Nr. 13.033 of 24/09/14)
http://www.planalto.gov.br/ccivil_03/_Ato2011-2014/2014/Lei/L13033.htm</t>
  </si>
  <si>
    <t>See table 8 from Expansion plan. The 10-year National Energy Plans are indicative only and have no binding targets, so only used if policy instruments are implemented to back these aspirational targets. Targets may actually change year to year.</t>
  </si>
  <si>
    <t>MSB (2025) 88.5 GW - currently under construction</t>
  </si>
  <si>
    <t>MSB (2025) 5.6 GW - currently under construction</t>
  </si>
  <si>
    <t>MSB (2025) 13 GW - currently under construction</t>
  </si>
  <si>
    <t>MSB (2025) 0 GW - currently under construction</t>
  </si>
  <si>
    <t>MSB (2025) 16.5 GW - currently under construction</t>
  </si>
  <si>
    <t xml:space="preserve">Biodiesel blending planned to reach B20 by 2030 (planned) (B10 by 2019 is law already); B10 by 2019 should be a Protocol Reference since it is law. </t>
  </si>
  <si>
    <t>Very small impact</t>
  </si>
  <si>
    <t>Low carbon agriculture plan is currently under implementation, and target is expected to be met.</t>
  </si>
  <si>
    <t>Estimated mitigation impact 2020: 13,000 kt CO2eq (2nd biennial report). According to NatCom 'aligned with US'  &amp; Test cycle 'U.S. combined' according to ICCT fact sheet</t>
  </si>
  <si>
    <t>An ENERGY STAR® qualified home is approximately 20 percent more efficient than a reference house. […] All ENERGY STAR qualified homes must have new equipment or products installed that provide a minimum of 400 kWh/yr, per residential unit, of electrical savings using measures specified in Table 4.</t>
  </si>
  <si>
    <t>There is no end date for the biofuel standard</t>
  </si>
  <si>
    <t>Supported by ecoEnergy Efficiency. "National Building Codes in Canada do not have force in law, and are adopted (or adapted) by jurisdictions (provinces and territories) on an individual basis. […]  As of 2015, the National Energy Code of Canada for Buildings 2011 (NECB) had been adopted by five provinces (representing 69% of the nation’s total floor space. The remaining jurisdictions either have adopted an equivalent standard are actively considering NECB 2011 for adoption."</t>
  </si>
  <si>
    <t xml:space="preserve">Estimated mitigation impact 2020: 3,000 kt CO2eq (2nd biennial report). according to NatCom 'aligned with US' </t>
  </si>
  <si>
    <t>See http://www.theicct.org/sites/default/files/info-tools/pvstds/Canada_PVstds-facts_jan2015.pdf: light truck 40.3 mpg (136 g/km) by 2025</t>
  </si>
  <si>
    <t>136 gCO2/km</t>
  </si>
  <si>
    <t xml:space="preserve">HCFC emissions in 2011 in China were 683 MtCO2e (EDGAR), hence, the levels are 444 MtCO2e in 2020 and 222 MtCO2e in 2025. </t>
  </si>
  <si>
    <t>1.09MJ/pkm (1.71MJ/km for gasoline and 1.79MJ/km for diesel)</t>
  </si>
  <si>
    <t>Production of 2350 million ton cement in 2015 (http://www.globalcement.com/news/item/4533-has-china-s-cement-production-peaked); 1kgce = 29.3MJ. Replaced by new standard in 2012, GB 16780-2012 (no document in English availabe). http://www.worldstdindex.com/class/145_1.htm</t>
  </si>
  <si>
    <t>"Projections made in 2007 showed a primary energy consumption in 2020 of 1 842 Mtoe. A 20 % reduction results in 1 474 Mtoe in 2020, i.e. a reduction of 368 Mtoe as compared to projections" "that the Union’s 2020 energy consumption has to be no more than 1 474 Mtoe of primary energy or no more than 1 078 Mtoe of final energy"  (http://eur-lex.europa.eu/legal-content/EN/TXT/PDF/?uri=CELEX:32012L0027&amp;from=EN). One implementation policy is Eco-design (Directive 2009/125/EC establishing a framework for the setting of ecodesign requirements for energy-related products (recast)) European Union 2009</t>
  </si>
  <si>
    <t>With an option for more than 7% with consumer info.</t>
  </si>
  <si>
    <t>Switch 30 % of road freight travelling over 300 km to rail and waterborne transport by 2030, and over 50 % by 2050</t>
  </si>
  <si>
    <r>
      <t xml:space="preserve">Economy-wide, intensity </t>
    </r>
    <r>
      <rPr>
        <b/>
        <sz val="11"/>
        <rFont val="Calibri"/>
        <family val="2"/>
        <scheme val="minor"/>
      </rPr>
      <t>reduction</t>
    </r>
    <r>
      <rPr>
        <sz val="11"/>
        <rFont val="Calibri"/>
        <family val="2"/>
        <scheme val="minor"/>
      </rPr>
      <t>. Additional policies mentioned: lpg access, ECBC, Clean Environment fund, rural electrification, Public transport in urban areas, UMPP</t>
    </r>
  </si>
  <si>
    <t xml:space="preserve">The policy is called the National Biofuel Policy. Initially, (2003) it was supposed to be mandatory because of the limited availability of biofuels for blending, it was changed to being subject to availability. Therefore, it is not mandatory currently. Whereever OMC find biofuels available, they are blending about 5% . However, the national average comes to about 2% of blending. In terms of potential, this policy is important. </t>
  </si>
  <si>
    <t>The 2% was confirmed by national reviewers</t>
  </si>
  <si>
    <t>Programme of Activities</t>
  </si>
  <si>
    <r>
      <t xml:space="preserve">Assume 50% from power plants and 50% from industry. </t>
    </r>
    <r>
      <rPr>
        <i/>
        <sz val="11"/>
        <rFont val="Calibri"/>
        <family val="2"/>
        <scheme val="minor"/>
      </rPr>
      <t xml:space="preserve">The target is to achieve an average 4.8% reduction of Specific Energy Consumption (SEC) of the participating facilities in 2015 (below the 2007-2010 baseline level).  
</t>
    </r>
    <r>
      <rPr>
        <sz val="11"/>
        <rFont val="Calibri"/>
        <family val="2"/>
        <scheme val="minor"/>
      </rPr>
      <t>TERI: PAT is not a part of the Renewable Portfolio Standards, which in India are called Renewable Purchase Obligations (RPO). For the 1st phase, the trading of the certificates has not started. There are concerns on excess supply of Ecerts (white certificates) and hence the crashing of the proce of the certificates</t>
    </r>
  </si>
  <si>
    <t>Baseline is 2008-2011. "The government expects to deliver 26 million tons of CO2e reductions by the end of the first phase" - http://iepd.iipnetwork.org/policy/perform-achieve-trade-scheme-pat-scheme
Estimated savings: 6.6 Mtoe in the first cycle http://cdkn.org/wp-content/uploads/2013/01/India-PAT_InsideStory.pdf</t>
  </si>
  <si>
    <t xml:space="preserve">The target for PAT is an absolute 7 Mtoe for the first cycle. The assessment has not been formally released but there are indications that the achievement has been more than the target. The second cycle has aimed at reducing 7 Mtoe </t>
  </si>
  <si>
    <t>Fuel savings of 2.2 - 2.5 million tonnes in 2020, http://dhi.nic.in/writereaddata/Content/NEMMP2020.pdf</t>
  </si>
  <si>
    <t>There are two programmes -- Street lighting programme and the Domestic Efficient Lighting Programme (DELP). Baselines include present stocks of incandescent lps, CFL bulbs and tubelights. It's again cumulative.</t>
  </si>
  <si>
    <t xml:space="preserve">The RPO enables a pathway to be followed. The national missions would indicate the total target (175 GW) and when it will be achieved (2022). They wont indicate the trajectory. The Renewable Purchase Obligations ensure that every year there is some increase in the RE capacity. I would say keep it as a separate trajectory.  
</t>
  </si>
  <si>
    <t>The efficiency of a super critical power plant is about 3-5% more than current technology (sub critical) 
(Ecofys, 2013)/(IEA, 2011) The efficiency that can be achieved by applying best available technology (super-critical units) is as high as 47% (880gCO2/KWh).
http://www.iea.org/publications/freepublications/publication/TechnologyRoadmapHighEfficiencyLowEmissionsCoalFiredPowerGeneration_WEB_Updated_March2013.pdf
https://www.iea.org/media/workshops/2011/cea/Ito.pdf</t>
  </si>
  <si>
    <t xml:space="preserve">There has been a lot of push to increase capacity but due to reasons of low demand and financial conditions of the state level DISCOMs, the PLF of the new capacity would be very low. So, while modelling this, the models would have to explicitely enter a low PLF of about 60% for the fossil based capacity </t>
  </si>
  <si>
    <t>10 GW biomass and 5 GW small hydro are separate targets (together 15 GW other RE)</t>
  </si>
  <si>
    <t>Cumulative</t>
  </si>
  <si>
    <t>Cumulative emission reductions</t>
  </si>
  <si>
    <t>Industrial energy demand was 82.9Mtoe in 2010, equivalent of 3.5EJ (http://aperc.ieej.or.jp/publications/reports/outlook/5th/volume1/EDSO5_V1_C6_Industrial.pdf). It also imposes standards on other sectors and products</t>
  </si>
  <si>
    <t>Crude oil energy factor 38.8MJ/l (http://www.ct.gov/deep/lib/deep/energy/energyprice/energy_conversion_factors.pdf). According to the report, by the Ministry of Economy, Trade and Industry (METI), total energy demand in Japan will increase from 940 TWh in 2013 to 980.8 TWh in 2030.</t>
  </si>
  <si>
    <t>Also capacity targets for wind (38 GW), Solar (20 GW) and Solar thermal (14 GW)</t>
  </si>
  <si>
    <t>One example of a policy measure that implements this plan is Act on Special Measures concerning Advancement of Implementation of Forest Thinning (2013)</t>
  </si>
  <si>
    <t>Backed by building codes. Green building master plan</t>
  </si>
  <si>
    <t>Ambitious target -40% by 2020 relative to 2007, target is adjusted to 13.5% improvement by 2020)</t>
  </si>
  <si>
    <t>Eligible projects need to be equal or bigger than 5MW, hydropower plants cannot exceed 25MW.</t>
  </si>
  <si>
    <t>It is not specified whether this an absolute or per unit value</t>
  </si>
  <si>
    <t>National Sustainable Settlements Facility (NSSF), Financing solar water heaters and thermal efficiency measures in 1 million new build  low income houses in South Africa by 2020. Programme delivers 3 MtCO2 per annum reduction relative to baseline (30 MtCO2 by 2020 and 95MtCO2 by 2030. Solar water heater programme stalled, but likelihood of full implementation is questioned – wouldn’t bet on it to get going again</t>
  </si>
  <si>
    <t>Indicator for (MJ/m2) is based on 200 kWh/m2 from http://www.iea.org/beep/south%20africa/codes/national-building-regulation-2011.html (but IEA says: voluntary)</t>
  </si>
  <si>
    <t xml:space="preserve">NatCom 2016: 1st plant 4800 MW, 2nd plant 4480 MW, decision to construct a third plant, "Commissioning of two nuclear power plants until 2023 and the third nuclear power plant are in assessment process." </t>
  </si>
  <si>
    <t>Expected emission reductions in AFOLU sector is estimated at 61.5-75.5 MtCO2e per year by 2025</t>
  </si>
  <si>
    <t xml:space="preserve">6% - (15)% </t>
  </si>
  <si>
    <t>Backed by REIPPP and by SARi (CO2 Mitigation: 1,2bn t by 2045 or 60Mt per annum at full ramp-‐up)</t>
  </si>
  <si>
    <t xml:space="preserve">Biofuels: 5% in fossil fuel mix, see DDPP dashboard for number of cars, buses etc.). </t>
  </si>
  <si>
    <t>in 2014</t>
  </si>
  <si>
    <t>Biofuel targets based on http://gain.fas.usda.gov/Recent%20GAIN%20Publications/Biofuels%20Annual_Ottawa_Canada_11-24-2014.pdf</t>
  </si>
  <si>
    <t>2.2 Mtoe reduction (7 Mtoe) - updated to 280 PJ (6.688 Mtoe)</t>
  </si>
  <si>
    <t>7 Mtoe reduction - updated to 371 PJ (8.861 Mtoe)</t>
  </si>
  <si>
    <t>-16.61 Mt CO2e / -4.43 mtoe</t>
  </si>
  <si>
    <t>260 MtCO2e (cumulative)</t>
  </si>
  <si>
    <t>Biofuel target based on: http://gain.fas.usda.gov/Recent%20GAIN%20Publications/Biofuels%20Annual_New%20Delhi_India_6-24-2016.pdf</t>
  </si>
  <si>
    <t>mpg (km/l) for new passenger cars and light trucks</t>
  </si>
  <si>
    <t>Deforestation (ha)</t>
  </si>
  <si>
    <t>100 GW (with 60% PLF for fossil-based capacity)</t>
  </si>
  <si>
    <t>0.7 GW</t>
  </si>
  <si>
    <t>2007 Net forest conversion (Forest Land) FAOSTAT: 21.40 (unit 1000 ha)</t>
  </si>
  <si>
    <t>E-mobility Programme; Development and Distribution Plan for Electric Vehicles: Supply 100 million electric cars by 2020 (planned)</t>
  </si>
  <si>
    <t>Fuel efficiency | Light-duty vehicles (passenger vehicles)|New</t>
  </si>
  <si>
    <t>Fuel efficiency | Medium trucks|New</t>
  </si>
  <si>
    <t>Fuel efficiency | Gasoline + diesel cars|New</t>
  </si>
  <si>
    <t>Fuel efficiency | Heavy trucks|New</t>
  </si>
  <si>
    <t>Economy-wide | CO2-intensity (CO2/GDP)</t>
  </si>
  <si>
    <t>Fuel efficiency | Light-duty vehicles|New</t>
  </si>
  <si>
    <t>PAT scheme cycle I; updated due to overachievement</t>
  </si>
  <si>
    <t>PAT scheme cycle II; update due to overachievement</t>
  </si>
  <si>
    <t>PAT scheme cycle I; update due to overachievement</t>
  </si>
  <si>
    <t>PAT scheme cycle II; updated due to overachievement</t>
  </si>
  <si>
    <t>Fuel efficiency | Light-duty vehicles (light commercial vehicles)|New</t>
  </si>
  <si>
    <t>Electric vehicles | Share of new passenger fleet</t>
  </si>
  <si>
    <t>Proxy indicators from IMAGE (only use if policy measure can't be modelled). For land-use proxies, please refer to
'Country LULUCF projections'</t>
  </si>
  <si>
    <t>BY emissions, UNFCCC (incl LULUCF)</t>
  </si>
  <si>
    <t>(CD-LINKS) Emissions "conditional" at target year (incl LULUCF)</t>
  </si>
  <si>
    <t>(CD-LINKS) Emissions "conditional" at target year (excl LULUCF)</t>
  </si>
  <si>
    <r>
      <t>Party (</t>
    </r>
    <r>
      <rPr>
        <b/>
        <sz val="11"/>
        <color rgb="FFFFC000"/>
        <rFont val="Calibri"/>
        <family val="2"/>
        <scheme val="minor"/>
      </rPr>
      <t>orange is G20 economy</t>
    </r>
    <r>
      <rPr>
        <b/>
        <sz val="11"/>
        <color theme="0"/>
        <rFont val="Calibri"/>
        <family val="2"/>
        <scheme val="minor"/>
      </rPr>
      <t>)</t>
    </r>
  </si>
  <si>
    <r>
      <rPr>
        <b/>
        <u/>
        <sz val="11"/>
        <rFont val="Calibri"/>
        <family val="2"/>
        <scheme val="minor"/>
      </rPr>
      <t>Base Year</t>
    </r>
    <r>
      <rPr>
        <b/>
        <sz val="11"/>
        <rFont val="Calibri"/>
        <family val="2"/>
        <scheme val="minor"/>
      </rPr>
      <t xml:space="preserve"> emissions, UNFCCC (excl LULUCF)</t>
    </r>
  </si>
  <si>
    <r>
      <rPr>
        <b/>
        <sz val="11"/>
        <color theme="9"/>
        <rFont val="Calibri"/>
        <family val="2"/>
        <scheme val="minor"/>
      </rPr>
      <t>ADVANCE</t>
    </r>
    <r>
      <rPr>
        <b/>
        <sz val="11"/>
        <color theme="0"/>
        <rFont val="Calibri"/>
        <family val="2"/>
        <scheme val="minor"/>
      </rPr>
      <t xml:space="preserve"> Emissions "low" vs 2010</t>
    </r>
  </si>
  <si>
    <r>
      <rPr>
        <b/>
        <sz val="11"/>
        <color theme="9"/>
        <rFont val="Calibri"/>
        <family val="2"/>
        <scheme val="minor"/>
      </rPr>
      <t>ADVANCE</t>
    </r>
    <r>
      <rPr>
        <b/>
        <sz val="11"/>
        <color theme="0"/>
        <rFont val="Calibri"/>
        <family val="2"/>
        <scheme val="minor"/>
      </rPr>
      <t xml:space="preserve"> Emissions "high" vs 2010</t>
    </r>
  </si>
  <si>
    <r>
      <rPr>
        <b/>
        <sz val="11"/>
        <color theme="9"/>
        <rFont val="Calibri"/>
        <family val="2"/>
        <scheme val="minor"/>
      </rPr>
      <t>ADVANCE</t>
    </r>
    <r>
      <rPr>
        <b/>
        <sz val="11"/>
        <color theme="0"/>
        <rFont val="Calibri"/>
        <family val="2"/>
        <scheme val="minor"/>
      </rPr>
      <t xml:space="preserve"> Emissions "high" vs 2010 (SSP2 assumptions)</t>
    </r>
  </si>
  <si>
    <r>
      <rPr>
        <b/>
        <sz val="11"/>
        <color theme="9"/>
        <rFont val="Calibri"/>
        <family val="2"/>
        <scheme val="minor"/>
      </rPr>
      <t>ADVANCE</t>
    </r>
    <r>
      <rPr>
        <b/>
        <sz val="11"/>
        <color theme="0"/>
        <rFont val="Calibri"/>
        <family val="2"/>
        <scheme val="minor"/>
      </rPr>
      <t xml:space="preserve"> Emissions "high" 2030 vs 2010</t>
    </r>
  </si>
  <si>
    <r>
      <rPr>
        <b/>
        <sz val="11"/>
        <color theme="9"/>
        <rFont val="Calibri"/>
        <family val="2"/>
        <scheme val="minor"/>
      </rPr>
      <t xml:space="preserve">ADVANCE </t>
    </r>
    <r>
      <rPr>
        <b/>
        <sz val="11"/>
        <color theme="0"/>
        <rFont val="Calibri"/>
        <family val="2"/>
        <scheme val="minor"/>
      </rPr>
      <t>Emissions "low" at target year</t>
    </r>
  </si>
  <si>
    <r>
      <rPr>
        <b/>
        <sz val="11"/>
        <color theme="9"/>
        <rFont val="Calibri"/>
        <family val="2"/>
        <scheme val="minor"/>
      </rPr>
      <t>ADVANCE</t>
    </r>
    <r>
      <rPr>
        <b/>
        <sz val="11"/>
        <color theme="0"/>
        <rFont val="Calibri"/>
        <family val="2"/>
        <scheme val="minor"/>
      </rPr>
      <t xml:space="preserve"> Emissions "high" at target year</t>
    </r>
  </si>
  <si>
    <r>
      <rPr>
        <b/>
        <sz val="11"/>
        <color theme="9"/>
        <rFont val="Calibri"/>
        <family val="2"/>
        <scheme val="minor"/>
      </rPr>
      <t>ADVANCE</t>
    </r>
    <r>
      <rPr>
        <b/>
        <sz val="11"/>
        <color theme="0"/>
        <rFont val="Calibri"/>
        <family val="2"/>
        <scheme val="minor"/>
      </rPr>
      <t xml:space="preserve"> Emissions "high" at target year (SSP2 assumptions)</t>
    </r>
  </si>
  <si>
    <t>(MtCO2e)</t>
  </si>
  <si>
    <t>red-% (2005)</t>
  </si>
  <si>
    <t>red-% (2013)</t>
  </si>
  <si>
    <t>Energy CO2</t>
  </si>
  <si>
    <t>Non-energy CO2</t>
  </si>
  <si>
    <t>F-gases</t>
  </si>
  <si>
    <t>LULUCF</t>
  </si>
  <si>
    <t>Total CO2</t>
  </si>
  <si>
    <t>Total GHG (excl LULUCF)</t>
  </si>
  <si>
    <t>Total GHG (incl LULUCF credits)</t>
  </si>
  <si>
    <t>Second National Communcication</t>
  </si>
  <si>
    <t>unfccc.int/resource/docs/natc/chnnc2e.pdf</t>
  </si>
  <si>
    <t>(10^4tCO2e)</t>
  </si>
  <si>
    <t>Energy activities</t>
  </si>
  <si>
    <t>Industrial processes</t>
  </si>
  <si>
    <t>Agricultural activities</t>
  </si>
  <si>
    <t>Waste treatment</t>
  </si>
  <si>
    <t>Total (incl LULUCF)</t>
  </si>
  <si>
    <t>Total (excl LULUCF)</t>
  </si>
  <si>
    <t>Exchange rate (USD/RMB)(2005)</t>
  </si>
  <si>
    <t>World Bank</t>
  </si>
  <si>
    <t>(trillion RMB)</t>
  </si>
  <si>
    <t>GDP</t>
  </si>
  <si>
    <t>(billion US$)</t>
  </si>
  <si>
    <t>TPES accounting</t>
  </si>
  <si>
    <t>Moomaw, W., P. Burgherr, G. Heath, M. Lenzen, J. Nyboer, A. Verbruggen, 2011: Annex II: Methodology. In IPCC</t>
  </si>
  <si>
    <t>Special Report on Renewable Energy Sources and Climate Change Mitigation [O. Edenhofer,</t>
  </si>
  <si>
    <t>R. Pichs-Madruga, Y. Sokona, K. Seyboth, P. Matschoss, S. Kadner, T. Zwickel, P. Eickemeier, G. Hansen,</t>
  </si>
  <si>
    <t>S. Schlömer, C. von Stechow (eds)], Cambridge University Press, Cambridge, United Kingdom and New York,</t>
  </si>
  <si>
    <t>NY, USA.</t>
  </si>
  <si>
    <t>Substitution method</t>
  </si>
  <si>
    <t>Efficiencies:</t>
  </si>
  <si>
    <t>Nuclear</t>
  </si>
  <si>
    <t>Hydro</t>
  </si>
  <si>
    <t>Solar PV</t>
  </si>
  <si>
    <t>Wind (onshore/offshore)</t>
  </si>
  <si>
    <t>Biomass</t>
  </si>
  <si>
    <t>- modern</t>
  </si>
  <si>
    <t>- traditional</t>
  </si>
  <si>
    <t>Solar thermal</t>
  </si>
  <si>
    <t>Geothermal</t>
  </si>
  <si>
    <t>Ocean</t>
  </si>
  <si>
    <t>The final report of the expert group on low carbon strategies for inclusive growth</t>
  </si>
  <si>
    <t xml:space="preserve">planningcommission.gov.in/reports/genrep/rep_carbon2005.pdf </t>
  </si>
  <si>
    <t>Emissions (excl AFOLU)</t>
  </si>
  <si>
    <t>Emission intensity (gCO2e/Rs GDP)</t>
  </si>
  <si>
    <t>GDP (trillion Rs1990)</t>
  </si>
  <si>
    <t>GDP (billion US$) (Workd Bank)</t>
  </si>
  <si>
    <t>Total GHG emissions incl LULUCF</t>
  </si>
  <si>
    <t>Total GHG emissions incl LULUCF and BC</t>
  </si>
  <si>
    <t>AR5</t>
  </si>
  <si>
    <t>Historical</t>
  </si>
  <si>
    <t>(3th NC)</t>
  </si>
  <si>
    <t>Total GHG emissions excl LULUCF</t>
  </si>
  <si>
    <t>SAR?</t>
  </si>
  <si>
    <t>Climate Action Tracker</t>
  </si>
  <si>
    <t>http://climateactiontracker.org/countries/saudiarabia.html</t>
  </si>
  <si>
    <t>https://www.kaust.edu.sa/assets/downloads/kicp-annual-strategic-study-appraisal-and-evaluation-of-energy-utilization-and-efficiency-in-the-ksa%202014-volume2.pdf</t>
  </si>
  <si>
    <t>Energy sector</t>
  </si>
  <si>
    <t>Waste</t>
  </si>
  <si>
    <t>Agriculture</t>
  </si>
  <si>
    <t>BUR</t>
  </si>
  <si>
    <t>BAPPENAS (Government of Indonesia, 2015)</t>
  </si>
  <si>
    <t>Sektor</t>
  </si>
  <si>
    <t>IPUU</t>
  </si>
  <si>
    <t>IPPU</t>
  </si>
  <si>
    <t>   37.749</t>
  </si>
  <si>
    <t> 130.658</t>
  </si>
  <si>
    <t>Afolu (no peat)</t>
  </si>
  <si>
    <t>LULUCF (incl peat fire)</t>
  </si>
  <si>
    <t>Peat Decomposition</t>
  </si>
  <si>
    <t>Peat Fire</t>
  </si>
  <si>
    <t>Total Emisi (tanpa peat fire)</t>
  </si>
  <si>
    <t xml:space="preserve">   1.145.906 </t>
  </si>
  <si>
    <t xml:space="preserve">3.217.294 </t>
  </si>
  <si>
    <t>Total Emisi (termasuk peat fire</t>
  </si>
  <si>
    <t xml:space="preserve">3.484.292 </t>
  </si>
  <si>
    <t>Total</t>
  </si>
  <si>
    <t>BUR Indonesia</t>
  </si>
  <si>
    <t>National (Indonesia)</t>
  </si>
  <si>
    <t>Reductions</t>
  </si>
  <si>
    <t>Pledge</t>
  </si>
  <si>
    <t>Pledge-%</t>
  </si>
  <si>
    <t>Energy/industry/transport/buildings</t>
  </si>
  <si>
    <t>TOTAL</t>
  </si>
  <si>
    <t>DG CLIMA project (2015)</t>
  </si>
  <si>
    <t>LULUCF (excl peat fires)</t>
  </si>
  <si>
    <t>Historical land-use emissions include those from peat oxidation caused by deforestation</t>
  </si>
  <si>
    <t>Den Elzen et al (2016)</t>
  </si>
  <si>
    <t>These projections do not take into account emissions from peat fires</t>
  </si>
  <si>
    <t>Used for CD-LINKS</t>
  </si>
  <si>
    <t>Total LULUCF</t>
  </si>
  <si>
    <t xml:space="preserve"> </t>
  </si>
  <si>
    <r>
      <rPr>
        <b/>
        <sz val="11"/>
        <color theme="1"/>
        <rFont val="Calibri"/>
        <family val="2"/>
        <scheme val="minor"/>
      </rPr>
      <t>BUR</t>
    </r>
    <r>
      <rPr>
        <sz val="11"/>
        <color theme="1"/>
        <rFont val="Calibri"/>
        <family val="2"/>
        <scheme val="minor"/>
      </rPr>
      <t xml:space="preserve"> reductions</t>
    </r>
  </si>
  <si>
    <t>Table 3-1</t>
  </si>
  <si>
    <t>(based on reduction from BUR and BAPPENAS BAU projection)</t>
  </si>
  <si>
    <t>(Assumption: agriculture remains constant from 2012)</t>
  </si>
  <si>
    <t>(MtCO2eq)</t>
  </si>
  <si>
    <t>(Assumption: 80% of additional reduction necassary to go from -29% to -41% come from LULUCF)</t>
  </si>
  <si>
    <t>energy/industry/waste</t>
  </si>
  <si>
    <t>LULUCF (incl peat fires)</t>
  </si>
  <si>
    <t>Total GHG (incl LULUCF)</t>
  </si>
  <si>
    <t>Total excl LULUCF</t>
  </si>
  <si>
    <t/>
  </si>
  <si>
    <t>Nicklas Forsell</t>
  </si>
  <si>
    <t>Zbigniew Klimont</t>
  </si>
  <si>
    <t>Jessica Jewell</t>
  </si>
  <si>
    <t>Olga Turkovska</t>
  </si>
  <si>
    <t>International Institute for Applied Systems Analysis (IIASA)</t>
  </si>
  <si>
    <t>Public Systems Group at the Indian Institute of Management, India (IIM)</t>
  </si>
  <si>
    <t>Institut Teknologi Bandung, Indonesia</t>
  </si>
  <si>
    <t>Ucok WR Siagian</t>
  </si>
  <si>
    <t>Amit Garg</t>
  </si>
  <si>
    <t>Cheolhung Cho</t>
  </si>
  <si>
    <t>Korea Advanced Institute of Science and Technology, Republic of Korea (KAIST)</t>
  </si>
  <si>
    <t>NewClimate Institute (NCI)</t>
  </si>
  <si>
    <t>Takeshi Kuramochi</t>
  </si>
  <si>
    <t xml:space="preserve">Junichiro Oda </t>
  </si>
  <si>
    <t>Swapnil Shekharf</t>
  </si>
  <si>
    <t>Aayushi Awasthy</t>
  </si>
  <si>
    <t>The Energy and Resources Institute, India (TERI)</t>
  </si>
  <si>
    <t>Tsinghua University, China (TU)</t>
  </si>
  <si>
    <t xml:space="preserve">Hongjun Zhang </t>
  </si>
  <si>
    <t>Vladimir Potachnikov</t>
  </si>
  <si>
    <t>Hilton Trollipp</t>
  </si>
  <si>
    <t xml:space="preserve">Energy Research Centre, South Africa (ERC) </t>
  </si>
  <si>
    <t>Michael Boulle</t>
  </si>
  <si>
    <t>Institute for Sustainable Development and International Relations (IDDRI)</t>
  </si>
  <si>
    <t>National experts (review)</t>
  </si>
  <si>
    <t>Gabriela Iacobuta</t>
  </si>
  <si>
    <t>Wageningen University</t>
  </si>
  <si>
    <t>Heleen van Soest</t>
  </si>
  <si>
    <t>PBL</t>
  </si>
  <si>
    <t>Mark Roelfsema</t>
  </si>
  <si>
    <t>Collection of policies</t>
  </si>
  <si>
    <t>Environment and Climate Change Canada (EC)</t>
  </si>
  <si>
    <t>Nick Macaluso</t>
  </si>
  <si>
    <t>Energy Research Institute of the National Development and Research Commission, China (NDRC-ERI)</t>
  </si>
  <si>
    <t>Chenmin He</t>
  </si>
  <si>
    <t>Jiyong Eom</t>
  </si>
  <si>
    <t>Daniel Buira</t>
  </si>
  <si>
    <t>Alex Koberle</t>
  </si>
  <si>
    <t>Zoi Vrontise</t>
  </si>
  <si>
    <t>Gokul Iyer</t>
  </si>
  <si>
    <t>Pacific Northwest National Library</t>
  </si>
  <si>
    <t>Shinichiro Fuijmori</t>
  </si>
  <si>
    <t>Detlef van Vuuren</t>
  </si>
  <si>
    <t>Niklas Höhne</t>
  </si>
  <si>
    <t>CD-LINKS WP3 Global low-carbon development pathways</t>
  </si>
  <si>
    <t>Protocol second round – June 2017</t>
  </si>
  <si>
    <t>This file contains</t>
  </si>
  <si>
    <t>-  List of high impact policies and translation to targets and indicators for IAM implementation</t>
  </si>
  <si>
    <t>-  List of NDC targets</t>
  </si>
  <si>
    <t>WP2.1 Review of national action plans and development policies, including their influence on GHG emissions and
development objectives</t>
  </si>
  <si>
    <t>as input to the</t>
  </si>
  <si>
    <t>This work is based on the scenario protocol and policy template from the ADVANCE project</t>
  </si>
  <si>
    <t>http://www.fp7-advance.eu/</t>
  </si>
  <si>
    <t>http://www.cd-links.org/wp-content/uploads/2016/06/CD-LINKS-global-exercise-protocol_secondround_for-website.pdf</t>
  </si>
  <si>
    <t>Policies updates between D2.1 and the Excel sheet tab 'High-impact policies' used in the final scenario runs</t>
  </si>
  <si>
    <t xml:space="preserve">Australia:  </t>
  </si>
  <si>
    <t>Fuel quality standards' in Excel but not in D2.1 - this was likely not implemented in models and I would exclude it from the Excel (I thought it was excluded already)</t>
  </si>
  <si>
    <t>Brazil:</t>
  </si>
  <si>
    <t xml:space="preserve"> 'Ban on incandescent light bulbs' only in Excel</t>
  </si>
  <si>
    <t xml:space="preserve">            </t>
  </si>
  <si>
    <t>Renewable energy auctions' only in D2.1 - I remember these were introduced at a later stage</t>
  </si>
  <si>
    <t xml:space="preserve">European Union: </t>
  </si>
  <si>
    <t>Directive 2015/1513 on GHG emissions from biofuels production (savings of up to 50%)' is in Excel only. Perhaps it would not have a very high impact anyway? This depends on how much biofuels EU is assumed to use.</t>
  </si>
  <si>
    <t xml:space="preserve">                               </t>
  </si>
  <si>
    <t>Timber regulation' appears in Excel but not in D2.1. Could be excluded? This is on enforcing ban on illegal logging - very hard to quantify</t>
  </si>
  <si>
    <t>India:</t>
  </si>
  <si>
    <t>Renewable  Purchase  Obligations' is in D2.1 but not in Excel - I believe this is an important policy</t>
  </si>
  <si>
    <t xml:space="preserve">Indonesia: </t>
  </si>
  <si>
    <t>Moratorium on the issuance of new conversion permits for primary forest and peatlands' appears only in Excel - this may be hard to quantify but is likely very important in Indonesia.</t>
  </si>
  <si>
    <t xml:space="preserve">Republic of Korea: </t>
  </si>
  <si>
    <t>Particulate Matter Emissions Control Policy' ('particulate' incorrectly spelled) in Excel only, not in D2.1</t>
  </si>
  <si>
    <t xml:space="preserve">                                   </t>
  </si>
  <si>
    <t>New &amp; Renewable Energy use and dissemination program' also in Excel only, not in D2.1 - both policies colored as 'Non-climate' although the second shouldn't be. I believe we were not very consistent in keeping  non-climate types of policies for countries. I had a selection of these policies in the beginning, but excluded them with time'</t>
  </si>
  <si>
    <t xml:space="preserve">Russia: </t>
  </si>
  <si>
    <t>Presidential decree 752 only in Excel and marked as planned</t>
  </si>
  <si>
    <t xml:space="preserve">              </t>
  </si>
  <si>
    <t>Rules of using thermal performance in buildings' appears only in D2.1 - I beleive George said they are not enforced at all and is unlikely to be implemented</t>
  </si>
  <si>
    <t xml:space="preserve">             </t>
  </si>
  <si>
    <t>Vehicle emissions standards appear only in D2.1 - these follow the Euro 5 standards and may have been excluded due to lack of focus on GHG specifically</t>
  </si>
  <si>
    <t xml:space="preserve">Turkey: </t>
  </si>
  <si>
    <t>Renewable Energy Law 2011' appears only in Excel - i believe this expired or was amended/ended in 2015</t>
  </si>
  <si>
    <t>Improving energy efficiency in buildings 2009' only in Excel</t>
  </si>
  <si>
    <t xml:space="preserve">United States: </t>
  </si>
  <si>
    <t>Multipliers for electric vehicles' only in Excel</t>
  </si>
  <si>
    <t xml:space="preserve">                          </t>
  </si>
  <si>
    <t>Permitting under the Clean Air Act' only in Excel and marked as non-climate - see comment under Korea</t>
  </si>
  <si>
    <t>4b1</t>
  </si>
  <si>
    <t>4b2</t>
  </si>
  <si>
    <t>12d</t>
  </si>
  <si>
    <t>12e</t>
  </si>
  <si>
    <t xml:space="preserve"> Heavy-duty vehicle standards</t>
  </si>
  <si>
    <t xml:space="preserve"> Medium-duty vehicle standards</t>
  </si>
  <si>
    <t>Minium/floor. See 'High impact policies' 2j and 2k for more details, if needed</t>
  </si>
  <si>
    <t>Energy plan</t>
  </si>
  <si>
    <t>Medium-duty vehicles fuel consumption</t>
  </si>
  <si>
    <t>7n</t>
  </si>
  <si>
    <t>Share of renewables (final energy consumption)</t>
  </si>
  <si>
    <t>Renewable Capacity targets Solar/Wind Mission</t>
  </si>
  <si>
    <t>Renewable electricity production (%)</t>
  </si>
  <si>
    <t>Target used to be 5% (updated after review).The 2% was confirmed by national reviewers. See also Gain (USDA, 2016) report. Estimated bio-ethanol blending is still 2% in 2017 (Gain report, USDA, 2016). Emissions mitigated estimated by IIM: 2015-2030: 99, 2005-2020: 22, 2021-2030: 85</t>
  </si>
  <si>
    <t>Biodiesel blending</t>
  </si>
  <si>
    <t>2.0 GW Hydro</t>
  </si>
  <si>
    <t>0.7 GW geothermal</t>
  </si>
  <si>
    <t>0.2 GW Wind/Solar</t>
  </si>
  <si>
    <t>Biofuel blending</t>
  </si>
  <si>
    <t>Biofuel share in diesel</t>
  </si>
  <si>
    <t>1e</t>
  </si>
  <si>
    <t>Included in protocol</t>
  </si>
  <si>
    <t>1. http://www.cd-links.org/wp-content/uploads/2016/06/CD-LINKS_D2.1_Jan-2018.pdf</t>
  </si>
  <si>
    <t>2. http://climatepolicydatabase.org/index.php?title=CDlinks_policy_inventory</t>
  </si>
  <si>
    <t>3. http://www.fp7-advance.eu/</t>
  </si>
  <si>
    <t>NDC</t>
  </si>
  <si>
    <t>NDC Emission reduction target</t>
  </si>
  <si>
    <t>NDC policies</t>
  </si>
  <si>
    <t>NDC policy</t>
  </si>
  <si>
    <t>Economy-wide NDC target Australia 2015</t>
  </si>
  <si>
    <t xml:space="preserve">NDC target Brazil 2015 </t>
  </si>
  <si>
    <t>Renewables NDC target Brazil 2015</t>
  </si>
  <si>
    <t>NDC LULUCF policy</t>
  </si>
  <si>
    <t xml:space="preserve">Biofuel NDC target Brazil 2015 </t>
  </si>
  <si>
    <t xml:space="preserve">Energy efficiency NDC target Brazil 2015 </t>
  </si>
  <si>
    <t xml:space="preserve">Economy-wide NDC target Canada 2015 </t>
  </si>
  <si>
    <t>Economy-wide NDC target China 2015</t>
  </si>
  <si>
    <t>NDC target European Union 2015</t>
  </si>
  <si>
    <t xml:space="preserve">Energy intensity NDC target India 2015 </t>
  </si>
  <si>
    <t>Financially conditional renewables NDC target India 2015</t>
  </si>
  <si>
    <t>Forestry NDC target India 2015</t>
  </si>
  <si>
    <t>NDC target Indonesia 2015</t>
  </si>
  <si>
    <t>NDC target South Korea 2015</t>
  </si>
  <si>
    <t>NDC target Mexico 2015</t>
  </si>
  <si>
    <t>NDC target Russian Federation 2015</t>
  </si>
  <si>
    <t>NDC target South Africa 2015</t>
  </si>
  <si>
    <t xml:space="preserve">NDC target Turkey 2015 </t>
  </si>
  <si>
    <t xml:space="preserve">Renewables NDC target Turkey 2015 </t>
  </si>
  <si>
    <t xml:space="preserve">Economy-wide NDC target United States of America 2015 </t>
  </si>
  <si>
    <t>Based on PBL report 'Enhanced policy scenarios for major emitting countries', but translated into general deforestation target. In NDC scenario it is assumed that Brazil achieves zero deforestation by 2030, so we assume half is achieved by 2020 (around 500 MtCO2 emissions by 2010)</t>
  </si>
  <si>
    <t xml:space="preserve">The 18% of TPES by 2030 target is from the Brazilian NDC. It is an interpretation of the following statement on p7 of the NDC (http://www4.unfccc.int/ndcregistry/PublishedDocuments/Brazil%20First/BRAZIL%20NDC%20english%20FINAL.pdf): “i) increasing the share of sustainable biofuels in the Brazilian energy mix to approximately 18% by 2030, by expanding biofuel consumption, increasing ethanol supply, including by increasing the share of advanced biofuels (second generation), and increasing the share of biodiesel in the diesel mix;”
</t>
  </si>
  <si>
    <t>PPD: 
• South Africa’s GHG emissions peak in the period 2020 to 2025 in a range with a lower limit of 398 Megatonnes (109 kg) (Mt) CO2-eq  and upper limits of 583 Mt CO2-eq and 614 Mt CO2-eq for 2020 and 2025 respectively.
• South Africa’s GHG emissions will plateau for up to ten years after the peak within the range with a lower limit of 398 Mt CO2-eq and upper limit of 614 Mt CO2-eq.
• From 2036 onwards, emissions will decline in absolute terms to a range with lower limit of 212 Mt CO2-eq and upper limit of 428 Mt CO2-eq by 2050
NDC: conditional. Underlying policies: NDP, NCCRP, IEP, IRP, IPAP, NGP</t>
  </si>
  <si>
    <t>Incl/excl LULUCF in NDC target?</t>
  </si>
  <si>
    <t>NDC "low"/unconditional</t>
  </si>
  <si>
    <t>NDC "high"/conditional</t>
  </si>
  <si>
    <t>NDC "low" %</t>
  </si>
  <si>
    <t>NDC "high" %</t>
  </si>
  <si>
    <t>Base Year emissions, from NDC (incl LULUCF)</t>
  </si>
  <si>
    <t xml:space="preserve"> Base Year emissions, from NDC (excl LULUCF)</t>
  </si>
  <si>
    <t>2010 emissions, NDC</t>
  </si>
  <si>
    <t>NDC BAU target year emissions</t>
  </si>
  <si>
    <t>indicative: -43% below 2005 in 2030. The NDC alsoo specifies an absolute target of 1.3 Gt CO2e in 2025 and 1.2 Gt in 2030 (in addition to % reductions)</t>
  </si>
  <si>
    <t>GHG intensity: values displayed in 2030 with own GDP assumptions; NDC: 2010 emissions: 91575.9 ktCO2e, higher than CAIT</t>
  </si>
  <si>
    <t>different historical 2010 database and NDC emission levels / No BAU emissions in NDC or Reference data</t>
  </si>
  <si>
    <t>(implement additional NDC policies)</t>
  </si>
  <si>
    <t xml:space="preserve"> 2005 NDC: 288.66 MtCO2e</t>
  </si>
  <si>
    <t>No BAU emissions in NDC or WP6 Reference data</t>
  </si>
  <si>
    <t>NDC 2030 emissions are given in document</t>
  </si>
  <si>
    <t>130 MtCO2e avoided annualy by 2030 // Between 2016 and 2020, Saudi Arabia
reserves the right to further elaborate on its NDC and make additional submissions to account for these scenarios. During the run-up to the validity period of the NDC, the
baseline scenarios will be updated</t>
  </si>
  <si>
    <t>Turkey may revise this NDC in accordance with changing circumstances</t>
  </si>
  <si>
    <t>No BAU emissions in NDC or WP6  Reference data</t>
  </si>
  <si>
    <t>-14% BAU emissions excluding LULUCF, +32% sinks due to LULUCF // different historical emissions in CAIT vs. NDC but EDGAR is closer than CAIT</t>
  </si>
  <si>
    <t>GHG intensity: values displayed in 2030 with GDP assumptions from NDC</t>
  </si>
  <si>
    <t>It is assumed that the NDC is excluding LULUCF</t>
  </si>
  <si>
    <t>NDC Japan</t>
  </si>
  <si>
    <t>http://apki.net/wp-content/uploads/2015/07/Presentasi-NDC-BAPPENAS-di-KLHK.pptx</t>
  </si>
  <si>
    <t>Between 2016 and 2020, Saudi Arabia reserves the right to further elaborate on its NDC and make additional submissions to account for these scenarios. During the run-up to the validity period of the NDC, the
baseline scenarios will be updated</t>
  </si>
  <si>
    <t>NDC target relative to 2010 including LULUCF</t>
  </si>
  <si>
    <t>NDC target relative to 2010 excluding LULUCF</t>
  </si>
  <si>
    <t>NDC target relative to 2005 including LULUCF</t>
  </si>
  <si>
    <t>Indicative NDC target 2030 relative to 2005 including LULUCF</t>
  </si>
  <si>
    <t>NDC target relative to 2005 excluding LULUCF</t>
  </si>
  <si>
    <t>NDC target absolute emissions including LULUCF</t>
  </si>
  <si>
    <t>NDC target absolute emissions excluding LULUCF</t>
  </si>
  <si>
    <t>Updated to: The NDC alsoo specifies an absolute target of 1.3 Gt CO2e in 2025 and 1.2 Gt in 2030 (in addition to % reductions)</t>
  </si>
  <si>
    <t># Only G20 countries. All numbers for Conditional NDCs ('low') - absolute and % expressed as emissions in target year (2025 or 2030) as a fraction of emissions in 2005 or 2010</t>
  </si>
  <si>
    <t>NDC emissions</t>
  </si>
  <si>
    <t>NDC split up</t>
  </si>
  <si>
    <t>NDC report</t>
  </si>
  <si>
    <r>
      <t>This spreadsheet contains the list of high impact policies that are currently implemented or planned to be implemented in the G20 countries. This list is part of the CD-LINKS scenario protocol</t>
    </r>
    <r>
      <rPr>
        <vertAlign val="superscript"/>
        <sz val="14"/>
        <color theme="1"/>
        <rFont val="Calibri"/>
        <family val="2"/>
        <scheme val="minor"/>
      </rPr>
      <t>1.</t>
    </r>
    <r>
      <rPr>
        <sz val="14"/>
        <color theme="1"/>
        <rFont val="Calibri"/>
        <family val="2"/>
        <scheme val="minor"/>
      </rPr>
      <t xml:space="preserve"> For each G20 country a selection of around 10 policies with expected high impact on greenhouse gas (GHG) emissions was made from the climate policy database</t>
    </r>
    <r>
      <rPr>
        <vertAlign val="superscript"/>
        <sz val="14"/>
        <color theme="1"/>
        <rFont val="Calibri"/>
        <family val="2"/>
        <scheme val="minor"/>
      </rPr>
      <t>2</t>
    </r>
    <r>
      <rPr>
        <sz val="14"/>
        <color theme="1"/>
        <rFont val="Calibri"/>
        <family val="2"/>
        <scheme val="minor"/>
      </rPr>
      <t xml:space="preserve">. The selection was based on literature and with the help of national experts (see acknowledgements). Besides climate and energy policies, other policies that have impact on GHG emissions were also included. The result can be found in the worksheet </t>
    </r>
    <r>
      <rPr>
        <b/>
        <sz val="14"/>
        <color theme="1"/>
        <rFont val="Calibri"/>
        <family val="2"/>
        <scheme val="minor"/>
      </rPr>
      <t>'High impact policies</t>
    </r>
    <r>
      <rPr>
        <sz val="14"/>
        <color theme="1"/>
        <rFont val="Calibri"/>
        <family val="2"/>
        <scheme val="minor"/>
      </rPr>
      <t>'.</t>
    </r>
  </si>
  <si>
    <r>
      <t>The implementation of these policies into the CD-LINKS Integrated Asssement Models (IAMs) went through a few rounds to determine the feasibility of implementation. The restults can be found in the worksheet '</t>
    </r>
    <r>
      <rPr>
        <b/>
        <sz val="14"/>
        <color theme="1"/>
        <rFont val="Calibri"/>
        <family val="2"/>
        <scheme val="minor"/>
      </rPr>
      <t>Protocol reference (numberical)</t>
    </r>
    <r>
      <rPr>
        <sz val="14"/>
        <color theme="1"/>
        <rFont val="Calibri"/>
        <family val="2"/>
        <scheme val="minor"/>
      </rPr>
      <t>, which contains the policies that could be implemented. It also includes a translation of policy targets to more general indicators based on the IMAGE model, enabling implementation in case the representation of a specific sectors does not allow implementation of a policy target as specified on the list.</t>
    </r>
  </si>
  <si>
    <r>
      <t>The worksheets '</t>
    </r>
    <r>
      <rPr>
        <b/>
        <sz val="14"/>
        <color theme="1"/>
        <rFont val="Calibri"/>
        <family val="2"/>
        <scheme val="minor"/>
      </rPr>
      <t>NDC emission targets</t>
    </r>
    <r>
      <rPr>
        <sz val="14"/>
        <color theme="1"/>
        <rFont val="Calibri"/>
        <family val="2"/>
        <scheme val="minor"/>
      </rPr>
      <t>' and '</t>
    </r>
    <r>
      <rPr>
        <b/>
        <sz val="14"/>
        <color theme="1"/>
        <rFont val="Calibri"/>
        <family val="2"/>
        <scheme val="minor"/>
      </rPr>
      <t>NDC policies</t>
    </r>
    <r>
      <rPr>
        <sz val="14"/>
        <color theme="1"/>
        <rFont val="Calibri"/>
        <family val="2"/>
        <scheme val="minor"/>
      </rPr>
      <t>' provide the quantifiable emission reduction targets and policies that are laid out by G20 countries in their Nationally Determined Contributions (NDC) as part of the Paris Agreement. In addition, NDC targets for non-G20 countries are taken from the ADVANCE project</t>
    </r>
    <r>
      <rPr>
        <vertAlign val="superscript"/>
        <sz val="14"/>
        <color theme="1"/>
        <rFont val="Calibri"/>
        <family val="2"/>
        <scheme val="minor"/>
      </rPr>
      <t>3</t>
    </r>
    <r>
      <rPr>
        <sz val="14"/>
        <color theme="1"/>
        <rFont val="Calibri"/>
        <family val="2"/>
        <scheme val="minor"/>
      </rPr>
      <t>. The worksheet '</t>
    </r>
    <r>
      <rPr>
        <b/>
        <sz val="14"/>
        <color theme="1"/>
        <rFont val="Calibri"/>
        <family val="2"/>
        <scheme val="minor"/>
      </rPr>
      <t>protocol NDC numerical'</t>
    </r>
    <r>
      <rPr>
        <sz val="14"/>
        <color theme="1"/>
        <rFont val="Calibri"/>
        <family val="2"/>
        <scheme val="minor"/>
      </rPr>
      <t xml:space="preserve"> gives a summary of these emission targets, and can be used as input to the IAMs.</t>
    </r>
  </si>
  <si>
    <t>Underlying assumptions for the data</t>
  </si>
  <si>
    <t>If data is only provided by a country until a specific period (for example 2020) net LULUCF emissions are assumed to remain constant from that period until 2030.</t>
  </si>
  <si>
    <t>For countries where we have not been able to find national projections (based on NC/BAU/INDC(NDC), published projections from earlier work is provided (mainly Takeshi K., et al (2016). Greenhouse gas mitigation scenarios for major emitting countries – Analysis of current policies and mitigation pledges)</t>
  </si>
  <si>
    <t>Countries that only provide estimates of either a NoPolicy or the Npi data, it is market that no data is available "no data"</t>
  </si>
  <si>
    <t>Data for specific years has been interpolated between time periods using linear interpolation</t>
  </si>
  <si>
    <t xml:space="preserve">To facilitate the possibility to harmonize the numbers either to FAO or NC data, we have created an automatic approach in which you simply can update the 2010 number and then the projections are re-scaled to that starting value. </t>
  </si>
  <si>
    <t>NON-ANNEX I</t>
  </si>
  <si>
    <r>
      <t xml:space="preserve">Harmonize to </t>
    </r>
    <r>
      <rPr>
        <b/>
        <sz val="10"/>
        <color theme="2" tint="-0.499984740745262"/>
        <rFont val="Calibri"/>
        <family val="2"/>
        <scheme val="minor"/>
      </rPr>
      <t>FAO</t>
    </r>
  </si>
  <si>
    <t>Year</t>
  </si>
  <si>
    <t xml:space="preserve">NoPolicy </t>
  </si>
  <si>
    <t>Source</t>
  </si>
  <si>
    <t xml:space="preserve">NPi </t>
  </si>
  <si>
    <t>factor</t>
  </si>
  <si>
    <t>BUR1</t>
  </si>
  <si>
    <t>No data</t>
  </si>
  <si>
    <t>intrp</t>
  </si>
  <si>
    <t>2010 - FAO</t>
  </si>
  <si>
    <t>PBL: Takeshi K., et al (2016). Greenhouse gas mitigation scenarios for major emitting countries – Analysis of current policies and mitigation pledges. NewClimate Institute</t>
  </si>
  <si>
    <t>ANNEX I</t>
  </si>
  <si>
    <r>
      <t>Harmonize to</t>
    </r>
    <r>
      <rPr>
        <b/>
        <sz val="10"/>
        <color rgb="FF00B050"/>
        <rFont val="Calibri"/>
        <family val="2"/>
        <scheme val="minor"/>
      </rPr>
      <t xml:space="preserve"> NC6</t>
    </r>
  </si>
  <si>
    <t>+</t>
  </si>
  <si>
    <t>2010 - NC</t>
  </si>
  <si>
    <t>*</t>
  </si>
  <si>
    <t xml:space="preserve"> + Annual compilation and accounting report for Annex B Parties under the Kyoto Protocol for 2013</t>
  </si>
  <si>
    <t xml:space="preserve">* Astralia's Emissions Projections Report, 2012 </t>
  </si>
  <si>
    <t>REDD-PAC</t>
  </si>
  <si>
    <t>REDD-PAC BRAZIL 2015. Modelling Land Use Changes in Brazil: 2000-2050, http://www.redd-pac.org/reports/lucc_brazil_folder.pdf.</t>
  </si>
  <si>
    <t>2015 - FAO</t>
  </si>
  <si>
    <t>NC6</t>
  </si>
  <si>
    <t>CRF14</t>
  </si>
  <si>
    <t>const</t>
  </si>
  <si>
    <t>* Report of Planning Commission of Government of India, 2014</t>
  </si>
  <si>
    <r>
      <t>Harmonized to</t>
    </r>
    <r>
      <rPr>
        <b/>
        <sz val="10"/>
        <color rgb="FF00B050"/>
        <rFont val="Calibri"/>
        <family val="2"/>
        <scheme val="minor"/>
      </rPr>
      <t xml:space="preserve"> NC</t>
    </r>
  </si>
  <si>
    <t>BAPPENAS</t>
  </si>
  <si>
    <t>2005 NC2</t>
  </si>
  <si>
    <t>BAPPENAS 2015. Sekretariat RAN-GRK: BAU Baseline Emisi Indonesia (Hasil Kaji Ulang). Available at: http://ranradgrk.bappenas.go.id/rangrk/component/content/article/92-bahasa/informasi-sektoral/193-hasil-indc.</t>
  </si>
  <si>
    <t>NC5</t>
  </si>
  <si>
    <r>
      <t xml:space="preserve">Harmonized to </t>
    </r>
    <r>
      <rPr>
        <b/>
        <sz val="10"/>
        <color rgb="FF00B050"/>
        <rFont val="Calibri"/>
        <family val="2"/>
        <scheme val="minor"/>
      </rPr>
      <t>NC</t>
    </r>
  </si>
  <si>
    <t>factor-NoPolicy</t>
  </si>
  <si>
    <t>factor-Npi</t>
  </si>
  <si>
    <t>2010 NC6</t>
  </si>
  <si>
    <t>BUR2</t>
  </si>
  <si>
    <t>LULUCF projections from GLOBIOM/G4M model</t>
  </si>
  <si>
    <t>Roberta Pierfederici</t>
  </si>
  <si>
    <t xml:space="preserve">jiang kejun </t>
  </si>
  <si>
    <t>(land use)</t>
  </si>
  <si>
    <t>(energy security)</t>
  </si>
  <si>
    <t>Research Institute of Innovative Technology for the Earth, Japan (RITE, Japan)</t>
  </si>
  <si>
    <t>National Institute for Environmental Studies (NIES, Japan)</t>
  </si>
  <si>
    <t>George Safonov</t>
  </si>
  <si>
    <t>National Research University Higher School of Economics (HSE)</t>
  </si>
  <si>
    <t>COPPE</t>
  </si>
  <si>
    <t>ICCS</t>
  </si>
  <si>
    <t>Update relative to second round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</si>
</sst>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41" formatCode="_(* #,##0_);_(* \(#,##0\);_(* &quot;-&quot;_);_(@_)"/>
    <numFmt numFmtId="43" formatCode="_(* #,##0.00_);_(* \(#,##0.00\);_(* &quot;-&quot;??_);_(@_)"/>
    <numFmt numFmtId="164" formatCode="_ * #,##0.00_ ;_ * \-#,##0.00_ ;_ * &quot;-&quot;??_ ;_ @_ "/>
    <numFmt numFmtId="165" formatCode="_ * #,##0_ ;_ * \-#,##0_ ;_ * &quot;-&quot;??_ ;_ @_ "/>
    <numFmt numFmtId="166" formatCode="0.0%"/>
    <numFmt numFmtId="167" formatCode="_-* #,##0.00_-;_-* #,##0.00\-;_-* &quot;-&quot;??_-;_-@_-"/>
    <numFmt numFmtId="168" formatCode="_-* #.##0.00_-;_-* #.##0.00\-;_-* &quot;-&quot;??_-;_-@_-"/>
    <numFmt numFmtId="169" formatCode="&quot;$&quot;#,##0\ ;\(&quot;$&quot;#,##0\)"/>
    <numFmt numFmtId="170" formatCode="_-* #,##0\ _D_M_-;\-* #,##0\ _D_M_-;_-* &quot;-&quot;\ _D_M_-;_-@_-"/>
    <numFmt numFmtId="171" formatCode="_-* #,##0.00\ _D_M_-;\-* #,##0.00\ _D_M_-;_-* &quot;-&quot;??\ _D_M_-;_-@_-"/>
    <numFmt numFmtId="172" formatCode="0.0"/>
    <numFmt numFmtId="173" formatCode="#."/>
    <numFmt numFmtId="174" formatCode="0.0000"/>
    <numFmt numFmtId="175" formatCode="#,##0.0000"/>
    <numFmt numFmtId="176" formatCode="###\ ###\ ##0.00"/>
    <numFmt numFmtId="177" formatCode="\ General"/>
    <numFmt numFmtId="178" formatCode="#\ ##0"/>
    <numFmt numFmtId="179" formatCode="###\ ###\ ##0"/>
    <numFmt numFmtId="180" formatCode="#\ ##0.0"/>
    <numFmt numFmtId="181" formatCode="\(#\ ##0.0\);\(\-#\ ##0.0\)"/>
    <numFmt numFmtId="182" formatCode="_-* #,##0\ &quot;DM&quot;_-;\-* #,##0\ &quot;DM&quot;_-;_-* &quot;-&quot;\ &quot;DM&quot;_-;_-@_-"/>
    <numFmt numFmtId="183" formatCode="_-* #,##0.00\ &quot;DM&quot;_-;\-* #,##0.00\ &quot;DM&quot;_-;_-* &quot;-&quot;??\ &quot;DM&quot;_-;_-@_-"/>
    <numFmt numFmtId="184" formatCode="_(* #.##0_);_(* \(#.##0\);_(* &quot;-&quot;_);_(@_)"/>
    <numFmt numFmtId="185" formatCode="_-* #,##0_-;\-* #,##0_-;_-* &quot;-&quot;_-;_-@_-"/>
    <numFmt numFmtId="186" formatCode="_-* #,##0.00_-;\-* #,##0.00_-;_-* &quot;-&quot;??_-;_-@_-"/>
    <numFmt numFmtId="187" formatCode="_ * #,##0.0_ ;_ * \-#,##0.0_ ;_ * &quot;-&quot;??_ ;_ @_ "/>
    <numFmt numFmtId="188" formatCode="_(* #,##0.0_);_(* \(#,##0.0\);_(* &quot;-&quot;??_);_(@_)"/>
    <numFmt numFmtId="189" formatCode="_(* #,##0_);_(* \(#,##0\);_(* &quot;-&quot;??_);_(@_)"/>
    <numFmt numFmtId="190" formatCode="_ [$¥-804]* #,##0.00_ ;_ [$¥-804]* \-#,##0.00_ ;_ [$¥-804]* &quot;-&quot;??_ ;_ @_ "/>
    <numFmt numFmtId="191" formatCode="_-[$$-409]* #,##0_ ;_-[$$-409]* \-#,##0\ ;_-[$$-409]* &quot;-&quot;??_ ;_-@_ "/>
    <numFmt numFmtId="192" formatCode="_ [$₹-4009]\ * #,##0_ ;_ [$₹-4009]\ * \-#,##0_ ;_ [$₹-4009]\ * &quot;-&quot;??_ ;_ @_ "/>
    <numFmt numFmtId="193" formatCode="_ * #,##0.0_ ;_ * \-#,##0.0_ ;_ * &quot;-&quot;?_ ;_ @_ "/>
  </numFmts>
  <fonts count="148"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0"/>
      <name val="Arial"/>
      <family val="2"/>
    </font>
    <font>
      <sz val="11"/>
      <name val="Calibri"/>
      <family val="2"/>
      <scheme val="minor"/>
    </font>
    <font>
      <sz val="11"/>
      <color theme="5"/>
      <name val="Calibri"/>
      <family val="2"/>
      <scheme val="minor"/>
    </font>
    <font>
      <sz val="11"/>
      <color rgb="FF00B050"/>
      <name val="Calibri"/>
      <family val="2"/>
      <scheme val="minor"/>
    </font>
    <font>
      <u/>
      <sz val="11"/>
      <color theme="10"/>
      <name val="Calibri"/>
      <family val="2"/>
      <scheme val="minor"/>
    </font>
    <font>
      <sz val="8"/>
      <color indexed="8"/>
      <name val="Arial"/>
      <family val="2"/>
    </font>
    <font>
      <sz val="8"/>
      <name val="Arial"/>
      <family val="2"/>
    </font>
    <font>
      <sz val="11"/>
      <color indexed="8"/>
      <name val="Calibri"/>
      <family val="2"/>
    </font>
    <font>
      <sz val="9"/>
      <name val="Times New Roman"/>
      <family val="1"/>
    </font>
    <font>
      <sz val="8"/>
      <color theme="0"/>
      <name val="Arial"/>
      <family val="2"/>
    </font>
    <font>
      <sz val="11"/>
      <color indexed="9"/>
      <name val="Calibri"/>
      <family val="2"/>
    </font>
    <font>
      <sz val="10"/>
      <name val="Times New Roman"/>
      <family val="1"/>
    </font>
    <font>
      <b/>
      <sz val="11"/>
      <color indexed="52"/>
      <name val="Calibri"/>
      <family val="2"/>
    </font>
    <font>
      <b/>
      <sz val="9"/>
      <name val="Times New Roman"/>
      <family val="1"/>
    </font>
    <font>
      <sz val="11"/>
      <color indexed="17"/>
      <name val="Calibri"/>
      <family val="2"/>
    </font>
    <font>
      <b/>
      <sz val="11"/>
      <color indexed="9"/>
      <name val="Calibri"/>
      <family val="2"/>
    </font>
    <font>
      <sz val="11"/>
      <color indexed="52"/>
      <name val="Calibri"/>
      <family val="2"/>
    </font>
    <font>
      <sz val="10"/>
      <name val="Helv"/>
    </font>
    <font>
      <sz val="10"/>
      <name val="Times"/>
      <family val="1"/>
    </font>
    <font>
      <b/>
      <sz val="8"/>
      <color rgb="FFFFFFFF"/>
      <name val="Arial"/>
      <family val="2"/>
    </font>
    <font>
      <sz val="6"/>
      <color indexed="54"/>
      <name val="Arial"/>
      <family val="2"/>
    </font>
    <font>
      <sz val="8"/>
      <color rgb="FF0039A6"/>
      <name val="Arial"/>
      <family val="2"/>
    </font>
    <font>
      <sz val="8"/>
      <color rgb="FF8B8D8E"/>
      <name val="Verdana"/>
      <family val="2"/>
    </font>
    <font>
      <sz val="8"/>
      <color indexed="32"/>
      <name val="Arial"/>
      <family val="2"/>
    </font>
    <font>
      <sz val="8"/>
      <color rgb="FFA2A4A4"/>
      <name val="Arial"/>
      <family val="2"/>
    </font>
    <font>
      <b/>
      <sz val="11"/>
      <color indexed="32"/>
      <name val="Verdana"/>
      <family val="2"/>
    </font>
    <font>
      <b/>
      <sz val="10"/>
      <color rgb="FF8B8D8E"/>
      <name val="Verdana"/>
      <family val="2"/>
    </font>
    <font>
      <b/>
      <sz val="9"/>
      <color rgb="FF8B8D8E"/>
      <name val="Verdana"/>
      <family val="2"/>
    </font>
    <font>
      <sz val="7"/>
      <color rgb="FF8B8D8E"/>
      <name val="Arial"/>
      <family val="2"/>
    </font>
    <font>
      <sz val="8"/>
      <name val="Verdana"/>
      <family val="2"/>
    </font>
    <font>
      <b/>
      <sz val="8"/>
      <name val="Arial"/>
      <family val="2"/>
    </font>
    <font>
      <b/>
      <sz val="8"/>
      <color theme="0"/>
      <name val="Verdana"/>
      <family val="2"/>
    </font>
    <font>
      <b/>
      <sz val="8"/>
      <color rgb="FF7AB800"/>
      <name val="Verdana"/>
      <family val="2"/>
    </font>
    <font>
      <sz val="8"/>
      <color rgb="FFBD0C30"/>
      <name val="Arial"/>
      <family val="2"/>
    </font>
    <font>
      <i/>
      <sz val="8"/>
      <color indexed="12"/>
      <name val="Arial"/>
      <family val="2"/>
    </font>
    <font>
      <sz val="10"/>
      <name val="Arial Cyr"/>
      <charset val="204"/>
    </font>
    <font>
      <sz val="11"/>
      <color indexed="62"/>
      <name val="Calibri"/>
      <family val="2"/>
    </font>
    <font>
      <b/>
      <sz val="10"/>
      <name val="Arial"/>
      <family val="2"/>
    </font>
    <font>
      <b/>
      <sz val="1"/>
      <color indexed="8"/>
      <name val="Courier"/>
      <family val="3"/>
    </font>
    <font>
      <b/>
      <sz val="12"/>
      <name val="Times New Roman"/>
      <family val="1"/>
    </font>
    <font>
      <u/>
      <sz val="10"/>
      <color indexed="12"/>
      <name val="Arial"/>
      <family val="2"/>
    </font>
    <font>
      <sz val="11"/>
      <color indexed="20"/>
      <name val="Calibri"/>
      <family val="2"/>
    </font>
    <font>
      <b/>
      <sz val="15"/>
      <color indexed="56"/>
      <name val="Calibri"/>
      <family val="2"/>
    </font>
    <font>
      <b/>
      <sz val="13"/>
      <color indexed="56"/>
      <name val="Calibri"/>
      <family val="2"/>
    </font>
    <font>
      <b/>
      <sz val="11"/>
      <color indexed="56"/>
      <name val="Calibri"/>
      <family val="2"/>
    </font>
    <font>
      <sz val="7"/>
      <color indexed="22"/>
      <name val="Arial"/>
      <family val="2"/>
    </font>
    <font>
      <sz val="10"/>
      <name val="Arial CE"/>
      <charset val="238"/>
    </font>
    <font>
      <sz val="11"/>
      <color indexed="60"/>
      <name val="Calibri"/>
      <family val="2"/>
    </font>
    <font>
      <sz val="10"/>
      <color indexed="8"/>
      <name val="Arial"/>
      <family val="2"/>
    </font>
    <font>
      <sz val="10"/>
      <name val="Courier New"/>
      <family val="3"/>
    </font>
    <font>
      <sz val="8"/>
      <name val="Helvetica"/>
      <family val="2"/>
    </font>
    <font>
      <sz val="8"/>
      <name val="Times New Roman"/>
      <family val="1"/>
    </font>
    <font>
      <b/>
      <sz val="8"/>
      <name val="Times New Roman"/>
      <family val="1"/>
    </font>
    <font>
      <b/>
      <i/>
      <sz val="8"/>
      <name val="Times New Roman"/>
      <family val="1"/>
    </font>
    <font>
      <sz val="7"/>
      <name val="Times New Roman"/>
      <family val="1"/>
    </font>
    <font>
      <sz val="8.5"/>
      <name val="Times"/>
      <family val="1"/>
    </font>
    <font>
      <sz val="8.5"/>
      <name val="Times New Roman"/>
      <family val="1"/>
    </font>
    <font>
      <b/>
      <sz val="11"/>
      <color indexed="63"/>
      <name val="Calibri"/>
      <family val="2"/>
    </font>
    <font>
      <b/>
      <sz val="10"/>
      <color indexed="9"/>
      <name val="Verdana"/>
      <family val="2"/>
    </font>
    <font>
      <sz val="10"/>
      <color indexed="9"/>
      <name val="Arial"/>
      <family val="2"/>
    </font>
    <font>
      <sz val="10"/>
      <color indexed="8"/>
      <name val="Verdana"/>
      <family val="2"/>
    </font>
    <font>
      <i/>
      <sz val="8"/>
      <name val="Tms Rmn"/>
    </font>
    <font>
      <sz val="11"/>
      <color indexed="10"/>
      <name val="Calibri"/>
      <family val="2"/>
    </font>
    <font>
      <i/>
      <sz val="11"/>
      <color indexed="23"/>
      <name val="Calibri"/>
      <family val="2"/>
    </font>
    <font>
      <b/>
      <sz val="18"/>
      <color indexed="56"/>
      <name val="Cambria"/>
      <family val="2"/>
    </font>
    <font>
      <b/>
      <sz val="8"/>
      <name val="Tms Rmn"/>
    </font>
    <font>
      <b/>
      <sz val="11"/>
      <color indexed="8"/>
      <name val="Calibri"/>
      <family val="2"/>
    </font>
    <font>
      <b/>
      <sz val="12"/>
      <color indexed="12"/>
      <name val="Arial"/>
      <family val="2"/>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
      <b/>
      <sz val="16"/>
      <color rgb="FF0070C0"/>
      <name val="Times New Roman"/>
      <family val="1"/>
    </font>
    <font>
      <sz val="11"/>
      <color theme="4"/>
      <name val="Calibri"/>
      <family val="2"/>
      <scheme val="minor"/>
    </font>
    <font>
      <u/>
      <sz val="11"/>
      <color theme="1"/>
      <name val="Calibri"/>
      <family val="2"/>
      <scheme val="minor"/>
    </font>
    <font>
      <sz val="11"/>
      <color rgb="FF333333"/>
      <name val="Tahoma"/>
      <family val="2"/>
    </font>
    <font>
      <sz val="11"/>
      <color rgb="FF000000"/>
      <name val="Tahoma"/>
      <family val="2"/>
    </font>
    <font>
      <sz val="11"/>
      <name val="Calibri"/>
      <family val="2"/>
      <charset val="161"/>
      <scheme val="minor"/>
    </font>
    <font>
      <b/>
      <sz val="11"/>
      <name val="Calibri"/>
      <family val="2"/>
      <scheme val="minor"/>
    </font>
    <font>
      <b/>
      <sz val="11"/>
      <color rgb="FFFF0000"/>
      <name val="Calibri"/>
      <family val="2"/>
      <scheme val="minor"/>
    </font>
    <font>
      <sz val="8"/>
      <color indexed="81"/>
      <name val="Tahoma"/>
      <family val="2"/>
    </font>
    <font>
      <b/>
      <sz val="8"/>
      <color indexed="81"/>
      <name val="Tahoma"/>
      <family val="2"/>
    </font>
    <font>
      <b/>
      <sz val="11"/>
      <color theme="0"/>
      <name val="Calibri"/>
      <family val="2"/>
      <scheme val="minor"/>
    </font>
    <font>
      <sz val="8"/>
      <color theme="1"/>
      <name val="Times New Roman"/>
      <family val="2"/>
    </font>
    <font>
      <sz val="8"/>
      <color theme="0"/>
      <name val="Times New Roman"/>
      <family val="2"/>
    </font>
    <font>
      <sz val="8"/>
      <color rgb="FF9C0006"/>
      <name val="Times New Roman"/>
      <family val="2"/>
    </font>
    <font>
      <sz val="6"/>
      <name val="Arial"/>
      <family val="2"/>
    </font>
    <font>
      <b/>
      <sz val="8"/>
      <color rgb="FFFA7D00"/>
      <name val="Times New Roman"/>
      <family val="2"/>
    </font>
    <font>
      <b/>
      <sz val="8"/>
      <color theme="0"/>
      <name val="Times New Roman"/>
      <family val="2"/>
    </font>
    <font>
      <sz val="8"/>
      <name val="Times"/>
      <family val="1"/>
    </font>
    <font>
      <i/>
      <sz val="8"/>
      <color rgb="FF7F7F7F"/>
      <name val="Times New Roman"/>
      <family val="2"/>
    </font>
    <font>
      <sz val="8"/>
      <color rgb="FF006100"/>
      <name val="Times New Roman"/>
      <family val="2"/>
    </font>
    <font>
      <sz val="8"/>
      <color rgb="FF3F3F76"/>
      <name val="Times New Roman"/>
      <family val="2"/>
    </font>
    <font>
      <sz val="8"/>
      <color rgb="FFFA7D00"/>
      <name val="Times New Roman"/>
      <family val="2"/>
    </font>
    <font>
      <sz val="8"/>
      <color rgb="FF9C6500"/>
      <name val="Times New Roman"/>
      <family val="2"/>
    </font>
    <font>
      <b/>
      <sz val="8"/>
      <color rgb="FF3F3F3F"/>
      <name val="Times New Roman"/>
      <family val="2"/>
    </font>
    <font>
      <b/>
      <sz val="8"/>
      <color theme="1"/>
      <name val="Times New Roman"/>
      <family val="2"/>
    </font>
    <font>
      <sz val="8"/>
      <color rgb="FFFF0000"/>
      <name val="Times New Roman"/>
      <family val="1"/>
    </font>
    <font>
      <sz val="12"/>
      <name val="Calibri"/>
      <family val="2"/>
      <scheme val="minor"/>
    </font>
    <font>
      <sz val="10"/>
      <name val="Calibri"/>
      <family val="2"/>
      <scheme val="minor"/>
    </font>
    <font>
      <sz val="10"/>
      <color theme="1"/>
      <name val="Calibri"/>
      <family val="2"/>
      <scheme val="minor"/>
    </font>
    <font>
      <b/>
      <sz val="18"/>
      <color theme="4"/>
      <name val="Calibri"/>
      <family val="2"/>
      <scheme val="minor"/>
    </font>
    <font>
      <sz val="11"/>
      <color theme="1"/>
      <name val="Calibri"/>
      <family val="2"/>
    </font>
    <font>
      <u/>
      <sz val="11"/>
      <color theme="4"/>
      <name val="Calibri"/>
      <family val="2"/>
      <scheme val="minor"/>
    </font>
    <font>
      <sz val="11"/>
      <name val="Calibri"/>
      <family val="2"/>
    </font>
    <font>
      <sz val="11"/>
      <color rgb="FF00B050"/>
      <name val="Calibri"/>
      <family val="2"/>
    </font>
    <font>
      <sz val="11"/>
      <color theme="4"/>
      <name val="Calibri"/>
      <family val="2"/>
    </font>
    <font>
      <i/>
      <sz val="11"/>
      <name val="Calibri"/>
      <family val="2"/>
      <scheme val="minor"/>
    </font>
    <font>
      <i/>
      <sz val="11"/>
      <color theme="4"/>
      <name val="Calibri"/>
      <family val="2"/>
      <scheme val="minor"/>
    </font>
    <font>
      <u/>
      <sz val="10"/>
      <name val="Arial"/>
      <family val="2"/>
    </font>
    <font>
      <sz val="8"/>
      <color theme="1"/>
      <name val="Calibri"/>
      <family val="2"/>
      <scheme val="minor"/>
    </font>
    <font>
      <sz val="10"/>
      <color rgb="FF000000"/>
      <name val="Arial"/>
      <family val="2"/>
    </font>
    <font>
      <sz val="11"/>
      <color theme="9"/>
      <name val="Calibri"/>
      <family val="2"/>
      <scheme val="minor"/>
    </font>
    <font>
      <u/>
      <sz val="11"/>
      <name val="Calibri"/>
      <family val="2"/>
      <scheme val="minor"/>
    </font>
    <font>
      <strike/>
      <sz val="11"/>
      <name val="Calibri"/>
      <family val="2"/>
      <scheme val="minor"/>
    </font>
    <font>
      <sz val="8"/>
      <color rgb="FF333333"/>
      <name val="Tahoma"/>
      <family val="2"/>
    </font>
    <font>
      <b/>
      <u/>
      <sz val="18"/>
      <color theme="4"/>
      <name val="Calibri"/>
      <family val="2"/>
      <scheme val="minor"/>
    </font>
    <font>
      <sz val="11"/>
      <name val="Tahoma"/>
      <family val="2"/>
    </font>
    <font>
      <u/>
      <sz val="11"/>
      <name val="Calibri"/>
      <family val="2"/>
    </font>
    <font>
      <b/>
      <sz val="11"/>
      <color theme="5"/>
      <name val="Calibri"/>
      <family val="2"/>
      <scheme val="minor"/>
    </font>
    <font>
      <strike/>
      <sz val="11"/>
      <color rgb="FFFF0000"/>
      <name val="Calibri"/>
      <family val="2"/>
      <scheme val="minor"/>
    </font>
    <font>
      <sz val="11"/>
      <color rgb="FFFF0000"/>
      <name val="Tahoma"/>
      <family val="2"/>
    </font>
    <font>
      <u/>
      <sz val="11"/>
      <color theme="4" tint="-0.249977111117893"/>
      <name val="Calibri"/>
      <family val="2"/>
      <scheme val="minor"/>
    </font>
    <font>
      <b/>
      <i/>
      <sz val="11"/>
      <color theme="0"/>
      <name val="Calibri"/>
      <family val="2"/>
      <scheme val="minor"/>
    </font>
    <font>
      <b/>
      <sz val="11"/>
      <color theme="9"/>
      <name val="Calibri"/>
      <family val="2"/>
      <scheme val="minor"/>
    </font>
    <font>
      <b/>
      <i/>
      <sz val="11"/>
      <name val="Calibri"/>
      <family val="2"/>
      <scheme val="minor"/>
    </font>
    <font>
      <b/>
      <u/>
      <sz val="11"/>
      <name val="Calibri"/>
      <family val="2"/>
      <scheme val="minor"/>
    </font>
    <font>
      <b/>
      <sz val="11"/>
      <color rgb="FFFFC000"/>
      <name val="Calibri"/>
      <family val="2"/>
      <scheme val="minor"/>
    </font>
    <font>
      <sz val="9"/>
      <name val="Verdana"/>
      <family val="2"/>
    </font>
    <font>
      <b/>
      <sz val="11"/>
      <color theme="1"/>
      <name val="Calibri"/>
      <family val="2"/>
    </font>
    <font>
      <b/>
      <sz val="28"/>
      <color theme="4"/>
      <name val="Calibri"/>
      <family val="2"/>
      <scheme val="minor"/>
    </font>
    <font>
      <u/>
      <sz val="9"/>
      <color theme="10"/>
      <name val="Calibri"/>
      <family val="2"/>
      <scheme val="minor"/>
    </font>
    <font>
      <sz val="14"/>
      <color theme="1"/>
      <name val="Calibri"/>
      <family val="2"/>
      <scheme val="minor"/>
    </font>
    <font>
      <vertAlign val="superscript"/>
      <sz val="14"/>
      <color theme="1"/>
      <name val="Calibri"/>
      <family val="2"/>
      <scheme val="minor"/>
    </font>
    <font>
      <b/>
      <sz val="14"/>
      <color theme="1"/>
      <name val="Calibri"/>
      <family val="2"/>
      <scheme val="minor"/>
    </font>
    <font>
      <b/>
      <sz val="10"/>
      <color rgb="FFFF0000"/>
      <name val="Calibri"/>
      <family val="2"/>
      <scheme val="minor"/>
    </font>
    <font>
      <b/>
      <sz val="10"/>
      <color theme="1"/>
      <name val="Calibri"/>
      <family val="2"/>
      <scheme val="minor"/>
    </font>
    <font>
      <b/>
      <sz val="10"/>
      <color theme="2" tint="-0.499984740745262"/>
      <name val="Calibri"/>
      <family val="2"/>
      <scheme val="minor"/>
    </font>
    <font>
      <i/>
      <sz val="10"/>
      <color theme="1"/>
      <name val="Calibri"/>
      <family val="2"/>
      <scheme val="minor"/>
    </font>
    <font>
      <i/>
      <sz val="10"/>
      <name val="Calibri"/>
      <family val="2"/>
      <scheme val="minor"/>
    </font>
    <font>
      <b/>
      <sz val="10"/>
      <color rgb="FF00B050"/>
      <name val="Calibri"/>
      <family val="2"/>
      <scheme val="minor"/>
    </font>
    <font>
      <i/>
      <sz val="8"/>
      <name val="Calibri"/>
      <family val="2"/>
      <scheme val="minor"/>
    </font>
    <font>
      <sz val="11"/>
      <color rgb="FFFFFFFF"/>
      <name val="Calibri"/>
      <family val="2"/>
      <scheme val="minor"/>
    </font>
    <font>
      <sz val="10"/>
      <color rgb="FFFFFFFF"/>
      <name val="Calibri"/>
      <family val="2"/>
      <scheme val="minor"/>
    </font>
  </fonts>
  <fills count="1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9"/>
        <bgColor indexed="64"/>
      </patternFill>
    </fill>
    <fill>
      <patternFill patternType="solid">
        <fgColor theme="0" tint="-0.14999847407452621"/>
        <bgColor indexed="64"/>
      </patternFill>
    </fill>
    <fill>
      <patternFill patternType="solid">
        <fgColor indexed="22"/>
        <bgColor indexed="64"/>
      </patternFill>
    </fill>
    <fill>
      <patternFill patternType="solid">
        <fgColor indexed="61"/>
        <bgColor indexed="64"/>
      </patternFill>
    </fill>
    <fill>
      <patternFill patternType="solid">
        <fgColor indexed="18"/>
        <bgColor indexed="64"/>
      </patternFill>
    </fill>
    <fill>
      <patternFill patternType="solid">
        <fgColor rgb="FFE899CE"/>
        <bgColor indexed="64"/>
      </patternFill>
    </fill>
    <fill>
      <patternFill patternType="solid">
        <fgColor indexed="19"/>
        <bgColor indexed="64"/>
      </patternFill>
    </fill>
    <fill>
      <patternFill patternType="solid">
        <fgColor indexed="1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bgColor indexed="64"/>
      </patternFill>
    </fill>
    <fill>
      <patternFill patternType="solid">
        <fgColor indexed="46"/>
        <bgColor indexed="64"/>
      </patternFill>
    </fill>
    <fill>
      <patternFill patternType="solid">
        <fgColor indexed="62"/>
        <bgColor indexed="64"/>
      </patternFill>
    </fill>
    <fill>
      <patternFill patternType="solid">
        <fgColor indexed="59"/>
        <bgColor indexed="64"/>
      </patternFill>
    </fill>
    <fill>
      <patternFill patternType="solid">
        <fgColor rgb="FFAA82C9"/>
        <bgColor indexed="64"/>
      </patternFill>
    </fill>
    <fill>
      <patternFill patternType="solid">
        <fgColor indexed="54"/>
        <bgColor indexed="64"/>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1"/>
        <bgColor indexed="64"/>
      </patternFill>
    </fill>
    <fill>
      <patternFill patternType="solid">
        <fgColor indexed="30"/>
        <bgColor indexed="64"/>
      </patternFill>
    </fill>
    <fill>
      <patternFill patternType="solid">
        <fgColor rgb="FFE5E533"/>
        <bgColor indexed="64"/>
      </patternFill>
    </fill>
    <fill>
      <patternFill patternType="solid">
        <fgColor rgb="FFD1339D"/>
        <bgColor indexed="64"/>
      </patternFill>
    </fill>
    <fill>
      <patternFill patternType="solid">
        <fgColor rgb="FF8E58B7"/>
        <bgColor indexed="64"/>
      </patternFill>
    </fill>
    <fill>
      <patternFill patternType="solid">
        <fgColor rgb="FF50458F"/>
        <bgColor indexed="6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9"/>
        <bgColor indexed="64"/>
      </patternFill>
    </fill>
    <fill>
      <patternFill patternType="solid">
        <fgColor indexed="38"/>
        <bgColor indexed="64"/>
      </patternFill>
    </fill>
    <fill>
      <patternFill patternType="solid">
        <fgColor indexed="63"/>
        <bgColor indexed="64"/>
      </patternFill>
    </fill>
    <fill>
      <patternFill patternType="solid">
        <fgColor indexed="60"/>
        <bgColor indexed="64"/>
      </patternFill>
    </fill>
    <fill>
      <patternFill patternType="solid">
        <fgColor indexed="53"/>
        <bgColor indexed="64"/>
      </patternFill>
    </fill>
    <fill>
      <patternFill patternType="solid">
        <fgColor indexed="23"/>
        <bgColor indexed="64"/>
      </patternFill>
    </fill>
    <fill>
      <patternFill patternType="solid">
        <fgColor indexed="27"/>
        <bgColor indexed="64"/>
      </patternFill>
    </fill>
    <fill>
      <patternFill patternType="solid">
        <fgColor indexed="22"/>
      </patternFill>
    </fill>
    <fill>
      <patternFill patternType="solid">
        <fgColor indexed="55"/>
      </patternFill>
    </fill>
    <fill>
      <patternFill patternType="solid">
        <fgColor indexed="43"/>
        <bgColor indexed="64"/>
      </patternFill>
    </fill>
    <fill>
      <patternFill patternType="solid">
        <fgColor indexed="10"/>
        <bgColor indexed="64"/>
      </patternFill>
    </fill>
    <fill>
      <patternFill patternType="solid">
        <fgColor indexed="52"/>
        <bgColor indexed="64"/>
      </patternFill>
    </fill>
    <fill>
      <patternFill patternType="solid">
        <fgColor indexed="55"/>
        <bgColor indexed="64"/>
      </patternFill>
    </fill>
    <fill>
      <patternFill patternType="solid">
        <fgColor indexed="17"/>
        <bgColor indexed="64"/>
      </patternFill>
    </fill>
    <fill>
      <patternFill patternType="solid">
        <fgColor indexed="32"/>
        <bgColor indexed="64"/>
      </patternFill>
    </fill>
    <fill>
      <patternFill patternType="solid">
        <fgColor indexed="56"/>
        <bgColor indexed="64"/>
      </patternFill>
    </fill>
    <fill>
      <patternFill patternType="solid">
        <fgColor indexed="33"/>
        <bgColor indexed="64"/>
      </patternFill>
    </fill>
    <fill>
      <patternFill patternType="solid">
        <fgColor indexed="50"/>
        <bgColor indexed="64"/>
      </patternFill>
    </fill>
    <fill>
      <patternFill patternType="solid">
        <fgColor indexed="4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7"/>
        <bgColor indexed="64"/>
      </patternFill>
    </fill>
    <fill>
      <patternFill patternType="solid">
        <fgColor indexed="43"/>
      </patternFill>
    </fill>
    <fill>
      <patternFill patternType="solid">
        <fgColor indexed="26"/>
      </patternFill>
    </fill>
    <fill>
      <patternFill patternType="darkTrellis"/>
    </fill>
    <fill>
      <patternFill patternType="solid">
        <fgColor theme="6" tint="0.79998168889431442"/>
        <bgColor indexed="64"/>
      </patternFill>
    </fill>
    <fill>
      <patternFill patternType="solid">
        <fgColor theme="3" tint="0.59999389629810485"/>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rgb="FF000000"/>
      </patternFill>
    </fill>
    <fill>
      <patternFill patternType="solid">
        <fgColor theme="4" tint="0.79998168889431442"/>
        <bgColor theme="4" tint="0.79998168889431442"/>
      </patternFill>
    </fill>
    <fill>
      <patternFill patternType="solid">
        <fgColor theme="8" tint="0.79998168889431442"/>
        <bgColor rgb="FF000000"/>
      </patternFill>
    </fill>
    <fill>
      <patternFill patternType="solid">
        <fgColor rgb="FFFFFF00"/>
        <bgColor indexed="64"/>
      </patternFill>
    </fill>
    <fill>
      <patternFill patternType="solid">
        <fgColor theme="9"/>
        <bgColor theme="4" tint="0.79998168889431442"/>
      </patternFill>
    </fill>
    <fill>
      <patternFill patternType="solid">
        <fgColor rgb="FF92D050"/>
        <bgColor indexed="64"/>
      </patternFill>
    </fill>
    <fill>
      <patternFill patternType="solid">
        <fgColor rgb="FFFFC000"/>
        <bgColor indexed="64"/>
      </patternFill>
    </fill>
    <fill>
      <patternFill patternType="solid">
        <fgColor theme="0" tint="-0.249977111117893"/>
        <bgColor indexed="64"/>
      </patternFill>
    </fill>
    <fill>
      <patternFill patternType="solid">
        <fgColor rgb="FFE9EDF4"/>
        <bgColor indexed="64"/>
      </patternFill>
    </fill>
  </fills>
  <borders count="2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hair">
        <color indexed="13"/>
      </left>
      <right style="hair">
        <color indexed="13"/>
      </right>
      <top style="hair">
        <color indexed="13"/>
      </top>
      <bottom style="hair">
        <color indexed="13"/>
      </bottom>
      <diagonal/>
    </border>
    <border>
      <left/>
      <right/>
      <top style="thin">
        <color indexed="33"/>
      </top>
      <bottom/>
      <diagonal/>
    </border>
    <border>
      <left/>
      <right/>
      <top/>
      <bottom style="medium">
        <color indexed="33"/>
      </bottom>
      <diagonal/>
    </border>
    <border>
      <left/>
      <right/>
      <top/>
      <bottom style="thin">
        <color indexed="33"/>
      </bottom>
      <diagonal/>
    </border>
    <border>
      <left/>
      <right/>
      <top/>
      <bottom style="thin">
        <color indexed="34"/>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medium">
        <color indexed="64"/>
      </top>
      <bottom/>
      <diagonal/>
    </border>
    <border>
      <left/>
      <right/>
      <top style="medium">
        <color indexed="64"/>
      </top>
      <bottom style="thin">
        <color indexed="64"/>
      </bottom>
      <diagonal/>
    </border>
    <border>
      <left/>
      <right/>
      <top style="dotted">
        <color indexed="64"/>
      </top>
      <bottom style="thin">
        <color indexed="64"/>
      </bottom>
      <diagonal/>
    </border>
    <border>
      <left/>
      <right/>
      <top style="dashed">
        <color indexed="64"/>
      </top>
      <bottom style="dashed">
        <color indexed="64"/>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style="thin">
        <color theme="4" tint="0.39997558519241921"/>
      </top>
      <bottom style="thin">
        <color theme="4" tint="0.399975585192419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right style="hair">
        <color auto="1"/>
      </right>
      <top style="hair">
        <color auto="1"/>
      </top>
      <bottom style="hair">
        <color auto="1"/>
      </bottom>
      <diagonal/>
    </border>
    <border>
      <left style="hair">
        <color indexed="64"/>
      </left>
      <right/>
      <top style="hair">
        <color indexed="64"/>
      </top>
      <bottom style="hair">
        <color indexed="64"/>
      </bottom>
      <diagonal/>
    </border>
    <border>
      <left style="hair">
        <color indexed="64"/>
      </left>
      <right style="hair">
        <color indexed="64"/>
      </right>
      <top/>
      <bottom style="thin">
        <color auto="1"/>
      </bottom>
      <diagonal/>
    </border>
    <border>
      <left style="thin">
        <color indexed="64"/>
      </left>
      <right style="hair">
        <color indexed="64"/>
      </right>
      <top/>
      <bottom style="thin">
        <color auto="1"/>
      </bottom>
      <diagonal/>
    </border>
    <border>
      <left style="hair">
        <color indexed="64"/>
      </left>
      <right style="thin">
        <color auto="1"/>
      </right>
      <top/>
      <bottom style="thin">
        <color auto="1"/>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style="thin">
        <color indexed="64"/>
      </top>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thin">
        <color indexed="23"/>
      </left>
      <right style="thin">
        <color indexed="23"/>
      </right>
      <top style="thin">
        <color indexed="23"/>
      </top>
      <bottom style="thin">
        <color indexed="23"/>
      </bottom>
      <diagonal/>
    </border>
    <border>
      <left style="hair">
        <color indexed="13"/>
      </left>
      <right style="hair">
        <color indexed="13"/>
      </right>
      <top style="hair">
        <color indexed="13"/>
      </top>
      <bottom style="hair">
        <color indexed="13"/>
      </bottom>
      <diagonal/>
    </border>
    <border>
      <left/>
      <right/>
      <top style="thin">
        <color indexed="33"/>
      </top>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thin">
        <color indexed="64"/>
      </left>
      <right style="hair">
        <color indexed="64"/>
      </right>
      <top style="hair">
        <color indexed="64"/>
      </top>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right/>
      <top style="thin">
        <color auto="1"/>
      </top>
      <bottom style="thin">
        <color auto="1"/>
      </bottom>
      <diagonal/>
    </border>
    <border>
      <left/>
      <right/>
      <top style="thin">
        <color indexed="33"/>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thin">
        <color indexed="23"/>
      </left>
      <right style="thin">
        <color indexed="23"/>
      </right>
      <top style="thin">
        <color indexed="23"/>
      </top>
      <bottom style="thin">
        <color indexed="23"/>
      </bottom>
      <diagonal/>
    </border>
    <border>
      <left style="hair">
        <color indexed="13"/>
      </left>
      <right style="hair">
        <color indexed="13"/>
      </right>
      <top style="hair">
        <color indexed="13"/>
      </top>
      <bottom style="hair">
        <color indexed="13"/>
      </bottom>
      <diagonal/>
    </border>
    <border>
      <left/>
      <right/>
      <top style="thin">
        <color indexed="33"/>
      </top>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style="medium">
        <color rgb="FFDDDDDD"/>
      </right>
      <top style="hair">
        <color indexed="64"/>
      </top>
      <bottom style="hair">
        <color indexed="64"/>
      </bottom>
      <diagonal/>
    </border>
    <border>
      <left style="medium">
        <color rgb="FFDDDDDD"/>
      </left>
      <right style="medium">
        <color rgb="FFDDDDDD"/>
      </right>
      <top style="hair">
        <color indexed="64"/>
      </top>
      <bottom/>
      <diagonal/>
    </border>
    <border>
      <left style="thin">
        <color indexed="64"/>
      </left>
      <right style="thin">
        <color indexed="64"/>
      </right>
      <top/>
      <bottom style="hair">
        <color indexed="64"/>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thin">
        <color indexed="64"/>
      </left>
      <right style="hair">
        <color indexed="64"/>
      </right>
      <top style="hair">
        <color indexed="64"/>
      </top>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hair">
        <color auto="1"/>
      </left>
      <right/>
      <top style="hair">
        <color auto="1"/>
      </top>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thin">
        <color indexed="64"/>
      </left>
      <right style="hair">
        <color indexed="64"/>
      </right>
      <top style="hair">
        <color indexed="64"/>
      </top>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hair">
        <color indexed="13"/>
      </left>
      <right style="hair">
        <color indexed="13"/>
      </right>
      <top style="hair">
        <color indexed="13"/>
      </top>
      <bottom style="hair">
        <color indexed="13"/>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thin">
        <color indexed="23"/>
      </left>
      <right style="thin">
        <color indexed="23"/>
      </right>
      <top style="thin">
        <color indexed="23"/>
      </top>
      <bottom style="thin">
        <color indexed="23"/>
      </bottom>
      <diagonal/>
    </border>
    <border>
      <left style="hair">
        <color indexed="13"/>
      </left>
      <right style="hair">
        <color indexed="13"/>
      </right>
      <top style="hair">
        <color indexed="13"/>
      </top>
      <bottom style="hair">
        <color indexed="13"/>
      </bottom>
      <diagonal/>
    </border>
    <border>
      <left/>
      <right/>
      <top style="thin">
        <color indexed="33"/>
      </top>
      <bottom/>
      <diagonal/>
    </border>
    <border>
      <left style="hair">
        <color indexed="43"/>
      </left>
      <right style="hair">
        <color indexed="43"/>
      </right>
      <top style="hair">
        <color indexed="43"/>
      </top>
      <bottom style="hair">
        <color indexed="43"/>
      </bottom>
      <diagonal/>
    </border>
    <border>
      <left style="hair">
        <color indexed="47"/>
      </left>
      <right style="hair">
        <color indexed="47"/>
      </right>
      <top style="hair">
        <color indexed="47"/>
      </top>
      <bottom style="hair">
        <color indexed="47"/>
      </bottom>
      <diagonal/>
    </border>
    <border>
      <left style="hair">
        <color indexed="43"/>
      </left>
      <right style="hair">
        <color indexed="43"/>
      </right>
      <top style="hair">
        <color indexed="43"/>
      </top>
      <bottom style="thin">
        <color indexed="34"/>
      </bottom>
      <diagonal/>
    </border>
    <border>
      <left style="hair">
        <color indexed="43"/>
      </left>
      <right style="hair">
        <color indexed="43"/>
      </right>
      <top style="hair">
        <color indexed="43"/>
      </top>
      <bottom style="thin">
        <color indexed="3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auto="1"/>
      </top>
      <bottom/>
      <diagonal/>
    </border>
    <border>
      <left style="hair">
        <color indexed="64"/>
      </left>
      <right style="hair">
        <color indexed="64"/>
      </right>
      <top style="thin">
        <color auto="1"/>
      </top>
      <bottom/>
      <diagonal/>
    </border>
    <border>
      <left style="hair">
        <color indexed="64"/>
      </left>
      <right style="thin">
        <color indexed="64"/>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top style="thin">
        <color indexed="64"/>
      </top>
      <bottom/>
      <diagonal/>
    </border>
    <border>
      <left/>
      <right/>
      <top style="thin">
        <color indexed="64"/>
      </top>
      <bottom/>
      <diagonal/>
    </border>
    <border>
      <left/>
      <right/>
      <top/>
      <bottom style="hair">
        <color indexed="64"/>
      </bottom>
      <diagonal/>
    </border>
    <border>
      <left/>
      <right style="thin">
        <color indexed="64"/>
      </right>
      <top style="thin">
        <color indexed="64"/>
      </top>
      <bottom/>
      <diagonal/>
    </border>
    <border>
      <left style="thin">
        <color indexed="64"/>
      </left>
      <right/>
      <top style="thin">
        <color theme="4" tint="0.39997558519241921"/>
      </top>
      <bottom style="thin">
        <color theme="4" tint="0.39997558519241921"/>
      </bottom>
      <diagonal/>
    </border>
    <border>
      <left style="thin">
        <color indexed="64"/>
      </left>
      <right/>
      <top style="thin">
        <color theme="4" tint="0.39997558519241921"/>
      </top>
      <bottom style="thin">
        <color indexed="64"/>
      </bottom>
      <diagonal/>
    </border>
    <border>
      <left/>
      <right/>
      <top style="thin">
        <color theme="4" tint="0.39997558519241921"/>
      </top>
      <bottom style="thin">
        <color indexed="64"/>
      </bottom>
      <diagonal/>
    </border>
    <border>
      <left/>
      <right style="thin">
        <color theme="4" tint="0.39997558519241921"/>
      </right>
      <top style="thin">
        <color theme="4" tint="0.39997558519241921"/>
      </top>
      <bottom style="thin">
        <color indexed="64"/>
      </bottom>
      <diagonal/>
    </border>
    <border>
      <left style="thin">
        <color indexed="64"/>
      </left>
      <right style="thin">
        <color indexed="64"/>
      </right>
      <top style="hair">
        <color auto="1"/>
      </top>
      <bottom/>
      <diagonal/>
    </border>
    <border>
      <left/>
      <right style="thin">
        <color indexed="64"/>
      </right>
      <top/>
      <bottom style="thin">
        <color indexed="64"/>
      </bottom>
      <diagonal/>
    </border>
    <border>
      <left/>
      <right/>
      <top/>
      <bottom style="thin">
        <color theme="4" tint="0.3999755851924192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thin">
        <color theme="4" tint="0.39997558519241921"/>
      </right>
      <top style="thin">
        <color theme="4" tint="0.39997558519241921"/>
      </top>
      <bottom/>
      <diagonal/>
    </border>
    <border>
      <left style="thin">
        <color indexed="64"/>
      </left>
      <right style="hair">
        <color auto="1"/>
      </right>
      <top style="hair">
        <color auto="1"/>
      </top>
      <bottom/>
      <diagonal/>
    </border>
    <border>
      <left style="medium">
        <color rgb="FFDDDDDD"/>
      </left>
      <right style="medium">
        <color rgb="FFDDDDDD"/>
      </right>
      <top/>
      <bottom style="hair">
        <color indexed="64"/>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
      <left/>
      <right/>
      <top style="hair">
        <color indexed="64"/>
      </top>
      <bottom/>
      <diagonal/>
    </border>
  </borders>
  <cellStyleXfs count="695">
    <xf numFmtId="0" fontId="0" fillId="0" borderId="0"/>
    <xf numFmtId="164" fontId="1" fillId="0" borderId="0" applyFont="0" applyFill="0" applyBorder="0" applyAlignment="0" applyProtection="0"/>
    <xf numFmtId="0" fontId="1" fillId="0" borderId="0"/>
    <xf numFmtId="0" fontId="8" fillId="0" borderId="0" applyNumberFormat="0" applyFill="0" applyBorder="0" applyAlignment="0" applyProtection="0"/>
    <xf numFmtId="0" fontId="9" fillId="8" borderId="0" applyNumberFormat="0" applyBorder="0" applyAlignment="0" applyProtection="0"/>
    <xf numFmtId="0" fontId="9"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49" fontId="12" fillId="0" borderId="8" applyNumberFormat="0" applyFont="0" applyFill="0" applyBorder="0" applyProtection="0">
      <alignment horizontal="left" vertical="center" indent="2"/>
    </xf>
    <xf numFmtId="0" fontId="9" fillId="20" borderId="0" applyNumberFormat="0" applyBorder="0" applyAlignment="0" applyProtection="0"/>
    <xf numFmtId="0" fontId="9"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17"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49" fontId="12" fillId="0" borderId="9" applyNumberFormat="0" applyFont="0" applyFill="0" applyBorder="0" applyProtection="0">
      <alignment horizontal="left" vertical="center" indent="5"/>
    </xf>
    <xf numFmtId="0" fontId="13" fillId="30" borderId="0" applyNumberFormat="0" applyBorder="0" applyAlignment="0" applyProtection="0"/>
    <xf numFmtId="0" fontId="13" fillId="31" borderId="0" applyNumberFormat="0" applyBorder="0" applyAlignment="0" applyProtection="0"/>
    <xf numFmtId="0" fontId="10"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4" fillId="3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0" fillId="42" borderId="0" applyNumberFormat="0" applyBorder="0" applyAlignment="0" applyProtection="0"/>
    <xf numFmtId="0" fontId="13" fillId="43" borderId="0" applyNumberFormat="0" applyBorder="0" applyAlignment="0" applyProtection="0"/>
    <xf numFmtId="0" fontId="13" fillId="44" borderId="0" applyNumberFormat="0" applyBorder="0" applyAlignment="0" applyProtection="0"/>
    <xf numFmtId="0" fontId="13" fillId="45" borderId="0" applyNumberFormat="0" applyBorder="0" applyAlignment="0" applyProtection="0"/>
    <xf numFmtId="4" fontId="12" fillId="46" borderId="8">
      <alignment horizontal="right" vertical="center"/>
    </xf>
    <xf numFmtId="0" fontId="15" fillId="0" borderId="10">
      <alignment horizontal="center" vertical="center"/>
    </xf>
    <xf numFmtId="0" fontId="16" fillId="47" borderId="11" applyNumberFormat="0" applyAlignment="0" applyProtection="0"/>
    <xf numFmtId="4" fontId="17" fillId="0" borderId="12" applyFill="0" applyBorder="0" applyProtection="0">
      <alignment horizontal="right" vertical="center"/>
    </xf>
    <xf numFmtId="0" fontId="18" fillId="16" borderId="0" applyNumberFormat="0" applyBorder="0" applyAlignment="0" applyProtection="0"/>
    <xf numFmtId="0" fontId="16" fillId="47" borderId="11" applyNumberFormat="0" applyAlignment="0" applyProtection="0"/>
    <xf numFmtId="0" fontId="19" fillId="48" borderId="13" applyNumberFormat="0" applyAlignment="0" applyProtection="0"/>
    <xf numFmtId="0" fontId="20" fillId="0" borderId="14" applyNumberFormat="0" applyFill="0" applyAlignment="0" applyProtection="0"/>
    <xf numFmtId="167" fontId="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8" fontId="4" fillId="0" borderId="0" applyFont="0" applyFill="0" applyBorder="0" applyAlignment="0" applyProtection="0"/>
    <xf numFmtId="3" fontId="4" fillId="0" borderId="0" applyFont="0" applyFill="0" applyBorder="0" applyAlignment="0" applyProtection="0"/>
    <xf numFmtId="0" fontId="21" fillId="0" borderId="0"/>
    <xf numFmtId="0" fontId="21" fillId="0" borderId="0"/>
    <xf numFmtId="0" fontId="19" fillId="48" borderId="13" applyNumberFormat="0" applyAlignment="0" applyProtection="0"/>
    <xf numFmtId="0" fontId="4" fillId="49" borderId="0" applyNumberFormat="0" applyFont="0" applyBorder="0" applyAlignment="0"/>
    <xf numFmtId="169" fontId="4" fillId="0" borderId="0" applyFont="0" applyFill="0" applyBorder="0" applyAlignment="0" applyProtection="0"/>
    <xf numFmtId="0" fontId="4" fillId="0" borderId="0" applyFont="0" applyFill="0" applyBorder="0" applyAlignment="0" applyProtection="0"/>
    <xf numFmtId="170" fontId="22" fillId="0" borderId="0" applyFont="0" applyFill="0" applyBorder="0" applyAlignment="0" applyProtection="0"/>
    <xf numFmtId="171" fontId="22" fillId="0" borderId="0" applyFont="0" applyFill="0" applyBorder="0" applyAlignment="0" applyProtection="0"/>
    <xf numFmtId="172" fontId="15" fillId="0" borderId="0" applyBorder="0"/>
    <xf numFmtId="172" fontId="15" fillId="0" borderId="4"/>
    <xf numFmtId="0" fontId="10" fillId="0" borderId="15" applyNumberFormat="0" applyFont="0" applyFill="0" applyAlignment="0"/>
    <xf numFmtId="0" fontId="10" fillId="50" borderId="15" applyNumberFormat="0" applyFont="0" applyAlignment="0"/>
    <xf numFmtId="0" fontId="10" fillId="51" borderId="15" applyNumberFormat="0" applyFont="0" applyAlignment="0"/>
    <xf numFmtId="0" fontId="10" fillId="52" borderId="15" applyNumberFormat="0" applyFont="0" applyAlignment="0"/>
    <xf numFmtId="0" fontId="10" fillId="53" borderId="15" applyNumberFormat="0" applyFont="0" applyAlignment="0"/>
    <xf numFmtId="0" fontId="23" fillId="54" borderId="15" applyNumberFormat="0" applyAlignment="0"/>
    <xf numFmtId="0" fontId="24" fillId="0" borderId="0" applyNumberFormat="0" applyFill="0" applyBorder="0" applyAlignment="0"/>
    <xf numFmtId="0" fontId="25" fillId="0" borderId="0" applyNumberFormat="0" applyFill="0" applyBorder="0" applyAlignment="0"/>
    <xf numFmtId="0" fontId="26" fillId="0" borderId="16" applyNumberFormat="0" applyFill="0" applyAlignment="0"/>
    <xf numFmtId="3" fontId="10" fillId="55" borderId="15" applyNumberFormat="0" applyAlignment="0">
      <protection locked="0"/>
    </xf>
    <xf numFmtId="1" fontId="27" fillId="55" borderId="15" applyNumberFormat="0" applyAlignment="0">
      <protection locked="0"/>
    </xf>
    <xf numFmtId="0" fontId="10" fillId="22" borderId="15" applyNumberFormat="0" applyFont="0" applyAlignment="0"/>
    <xf numFmtId="3" fontId="10" fillId="10" borderId="15" applyNumberFormat="0" applyFont="0" applyAlignment="0">
      <protection locked="0"/>
    </xf>
    <xf numFmtId="1" fontId="10" fillId="0" borderId="15" applyNumberFormat="0" applyFont="0" applyAlignment="0">
      <protection locked="0"/>
    </xf>
    <xf numFmtId="0" fontId="28" fillId="0" borderId="0" applyNumberFormat="0" applyFill="0" applyBorder="0">
      <alignment horizontal="right"/>
    </xf>
    <xf numFmtId="0" fontId="29" fillId="0" borderId="17" applyNumberFormat="0" applyFill="0" applyAlignment="0"/>
    <xf numFmtId="0" fontId="30" fillId="0" borderId="18" applyNumberFormat="0" applyFill="0" applyAlignment="0"/>
    <xf numFmtId="0" fontId="31" fillId="0" borderId="19" applyNumberFormat="0" applyFill="0" applyAlignment="0"/>
    <xf numFmtId="0" fontId="32" fillId="0" borderId="0" applyNumberFormat="0" applyFill="0" applyBorder="0" applyAlignment="0"/>
    <xf numFmtId="0" fontId="10" fillId="0" borderId="20" applyNumberFormat="0" applyFont="0" applyAlignment="0"/>
    <xf numFmtId="0" fontId="33" fillId="0" borderId="21" applyNumberFormat="0" applyAlignment="0"/>
    <xf numFmtId="0" fontId="33" fillId="0" borderId="20" applyNumberFormat="0" applyAlignment="0"/>
    <xf numFmtId="0" fontId="34" fillId="0" borderId="22" applyNumberFormat="0">
      <alignment wrapText="1"/>
    </xf>
    <xf numFmtId="0" fontId="35" fillId="56" borderId="0" applyNumberFormat="0" applyAlignment="0">
      <alignment wrapText="1"/>
    </xf>
    <xf numFmtId="0" fontId="36" fillId="0" borderId="23" applyNumberFormat="0">
      <alignment wrapText="1"/>
    </xf>
    <xf numFmtId="0" fontId="10" fillId="57" borderId="0" applyNumberFormat="0" applyFont="0" applyBorder="0" applyAlignment="0">
      <protection locked="0"/>
    </xf>
    <xf numFmtId="0" fontId="37" fillId="58" borderId="0" applyNumberFormat="0" applyBorder="0" applyAlignment="0">
      <protection locked="0"/>
    </xf>
    <xf numFmtId="0" fontId="38" fillId="0" borderId="0" applyNumberFormat="0" applyFill="0" applyBorder="0" applyAlignment="0"/>
    <xf numFmtId="0" fontId="39" fillId="0" borderId="24"/>
    <xf numFmtId="0" fontId="14" fillId="59" borderId="0" applyNumberFormat="0" applyBorder="0" applyAlignment="0" applyProtection="0"/>
    <xf numFmtId="0" fontId="14" fillId="60" borderId="0" applyNumberFormat="0" applyBorder="0" applyAlignment="0" applyProtection="0"/>
    <xf numFmtId="0" fontId="14" fillId="61"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62" borderId="0" applyNumberFormat="0" applyBorder="0" applyAlignment="0" applyProtection="0"/>
    <xf numFmtId="0" fontId="40" fillId="19" borderId="11" applyNumberFormat="0" applyAlignment="0" applyProtection="0"/>
    <xf numFmtId="2" fontId="4" fillId="0" borderId="0" applyFont="0" applyFill="0" applyBorder="0" applyAlignment="0" applyProtection="0"/>
    <xf numFmtId="0" fontId="20" fillId="0" borderId="14" applyNumberFormat="0" applyFill="0" applyAlignment="0" applyProtection="0"/>
    <xf numFmtId="0" fontId="18" fillId="16" borderId="0" applyNumberFormat="0" applyBorder="0" applyAlignment="0" applyProtection="0"/>
    <xf numFmtId="0" fontId="41" fillId="0" borderId="0"/>
    <xf numFmtId="0" fontId="4" fillId="0" borderId="0">
      <alignment horizontal="left" indent="2"/>
    </xf>
    <xf numFmtId="173" fontId="42" fillId="0" borderId="0">
      <protection locked="0"/>
    </xf>
    <xf numFmtId="173" fontId="42" fillId="0" borderId="0">
      <protection locked="0"/>
    </xf>
    <xf numFmtId="0" fontId="43" fillId="0" borderId="0" applyNumberFormat="0" applyFill="0" applyBorder="0" applyAlignment="0" applyProtection="0"/>
    <xf numFmtId="0" fontId="44" fillId="0" borderId="0" applyNumberFormat="0" applyFill="0" applyBorder="0" applyAlignment="0" applyProtection="0">
      <alignment vertical="top"/>
      <protection locked="0"/>
    </xf>
    <xf numFmtId="0" fontId="45" fillId="15" borderId="0" applyNumberFormat="0" applyBorder="0" applyAlignment="0" applyProtection="0"/>
    <xf numFmtId="4" fontId="12" fillId="0" borderId="25">
      <alignment horizontal="right" vertical="center"/>
    </xf>
    <xf numFmtId="0" fontId="40" fillId="19" borderId="11" applyNumberFormat="0" applyAlignment="0" applyProtection="0"/>
    <xf numFmtId="0" fontId="46" fillId="0" borderId="26" applyNumberFormat="0" applyFill="0" applyAlignment="0" applyProtection="0"/>
    <xf numFmtId="0" fontId="47" fillId="0" borderId="27" applyNumberFormat="0" applyFill="0" applyAlignment="0" applyProtection="0"/>
    <xf numFmtId="0" fontId="48" fillId="0" borderId="28" applyNumberFormat="0" applyFill="0" applyAlignment="0" applyProtection="0"/>
    <xf numFmtId="0" fontId="48" fillId="0" borderId="0" applyNumberFormat="0" applyFill="0" applyBorder="0" applyAlignment="0" applyProtection="0"/>
    <xf numFmtId="0" fontId="21" fillId="0" borderId="0"/>
    <xf numFmtId="0" fontId="17" fillId="0" borderId="0">
      <alignment horizontal="centerContinuous" wrapText="1"/>
    </xf>
    <xf numFmtId="0" fontId="4" fillId="63" borderId="0" applyNumberFormat="0" applyFont="0" applyBorder="0" applyAlignment="0"/>
    <xf numFmtId="0" fontId="49" fillId="0" borderId="0" applyNumberFormat="0" applyBorder="0">
      <alignment horizontal="right"/>
    </xf>
    <xf numFmtId="0" fontId="50" fillId="0" borderId="0"/>
    <xf numFmtId="0" fontId="51" fillId="64" borderId="0" applyNumberFormat="0" applyBorder="0" applyAlignment="0" applyProtection="0"/>
    <xf numFmtId="0" fontId="51" fillId="64" borderId="0" applyNumberFormat="0" applyBorder="0" applyAlignment="0" applyProtection="0"/>
    <xf numFmtId="174" fontId="4" fillId="0" borderId="0"/>
    <xf numFmtId="0" fontId="11" fillId="0" borderId="0"/>
    <xf numFmtId="0" fontId="52"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3" fillId="0" borderId="0"/>
    <xf numFmtId="0" fontId="15" fillId="0" borderId="0"/>
    <xf numFmtId="0" fontId="53" fillId="0" borderId="0"/>
    <xf numFmtId="0" fontId="53"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5" fillId="0" borderId="0"/>
    <xf numFmtId="0" fontId="10" fillId="0" borderId="0"/>
    <xf numFmtId="0" fontId="4" fillId="0" borderId="0"/>
    <xf numFmtId="0" fontId="53" fillId="0" borderId="0"/>
    <xf numFmtId="0" fontId="53" fillId="0" borderId="0"/>
    <xf numFmtId="0" fontId="53" fillId="0" borderId="0"/>
    <xf numFmtId="0" fontId="53" fillId="0" borderId="0"/>
    <xf numFmtId="0" fontId="4" fillId="0" borderId="0"/>
    <xf numFmtId="0" fontId="11" fillId="0" borderId="0"/>
    <xf numFmtId="0" fontId="4" fillId="0" borderId="0"/>
    <xf numFmtId="0" fontId="4" fillId="0" borderId="0"/>
    <xf numFmtId="0" fontId="11" fillId="0" borderId="0"/>
    <xf numFmtId="0" fontId="11" fillId="0" borderId="0"/>
    <xf numFmtId="0" fontId="4" fillId="0" borderId="0"/>
    <xf numFmtId="0" fontId="11" fillId="0" borderId="0"/>
    <xf numFmtId="0" fontId="11" fillId="0" borderId="0"/>
    <xf numFmtId="0" fontId="4" fillId="0" borderId="0"/>
    <xf numFmtId="0" fontId="4" fillId="0" borderId="0"/>
    <xf numFmtId="0" fontId="11" fillId="0" borderId="0"/>
    <xf numFmtId="4" fontId="12" fillId="0" borderId="8" applyFill="0" applyBorder="0" applyProtection="0">
      <alignment horizontal="right" vertical="center"/>
    </xf>
    <xf numFmtId="49" fontId="17" fillId="0" borderId="8" applyNumberFormat="0" applyFill="0" applyBorder="0" applyProtection="0">
      <alignment horizontal="left" vertical="center"/>
    </xf>
    <xf numFmtId="0" fontId="12" fillId="0" borderId="8" applyNumberFormat="0" applyFill="0" applyAlignment="0" applyProtection="0"/>
    <xf numFmtId="0" fontId="54" fillId="8" borderId="0" applyNumberFormat="0" applyFont="0" applyBorder="0" applyAlignment="0" applyProtection="0"/>
    <xf numFmtId="0" fontId="15" fillId="0" borderId="0"/>
    <xf numFmtId="0" fontId="43" fillId="0" borderId="0" applyNumberFormat="0" applyFont="0" applyFill="0" applyBorder="0" applyAlignment="0">
      <protection locked="0"/>
    </xf>
    <xf numFmtId="0" fontId="4" fillId="65" borderId="29" applyNumberFormat="0" applyFont="0" applyAlignment="0" applyProtection="0"/>
    <xf numFmtId="0" fontId="11" fillId="65" borderId="29" applyNumberFormat="0" applyFont="0" applyAlignment="0" applyProtection="0"/>
    <xf numFmtId="0" fontId="12" fillId="0" borderId="0">
      <alignment horizontal="left"/>
    </xf>
    <xf numFmtId="0" fontId="4" fillId="65" borderId="29" applyNumberFormat="0" applyFont="0" applyAlignment="0" applyProtection="0"/>
    <xf numFmtId="0" fontId="45" fillId="15" borderId="0" applyNumberFormat="0" applyBorder="0" applyAlignment="0" applyProtection="0"/>
    <xf numFmtId="175" fontId="12" fillId="66" borderId="8" applyNumberFormat="0" applyFont="0" applyBorder="0" applyAlignment="0" applyProtection="0">
      <alignment horizontal="right" vertical="center"/>
    </xf>
    <xf numFmtId="9" fontId="1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 fillId="0" borderId="0" applyFont="0" applyFill="0" applyBorder="0" applyAlignment="0" applyProtection="0"/>
    <xf numFmtId="176" fontId="55" fillId="0" borderId="0">
      <alignment horizontal="right"/>
    </xf>
    <xf numFmtId="0" fontId="55" fillId="0" borderId="0">
      <alignment horizontal="left"/>
    </xf>
    <xf numFmtId="0" fontId="56" fillId="0" borderId="0"/>
    <xf numFmtId="177" fontId="57" fillId="0" borderId="0"/>
    <xf numFmtId="177" fontId="55" fillId="0" borderId="0"/>
    <xf numFmtId="0" fontId="55" fillId="0" borderId="30">
      <alignment horizontal="left"/>
    </xf>
    <xf numFmtId="0" fontId="43" fillId="0" borderId="0">
      <alignment horizontal="left"/>
    </xf>
    <xf numFmtId="0" fontId="55" fillId="0" borderId="31">
      <alignment horizontal="right"/>
    </xf>
    <xf numFmtId="178" fontId="56" fillId="0" borderId="32" applyNumberFormat="0" applyAlignment="0">
      <alignment horizontal="left"/>
    </xf>
    <xf numFmtId="178" fontId="56" fillId="0" borderId="33">
      <alignment horizontal="right"/>
    </xf>
    <xf numFmtId="0" fontId="58" fillId="0" borderId="0"/>
    <xf numFmtId="179" fontId="55" fillId="0" borderId="0">
      <alignment horizontal="right"/>
    </xf>
    <xf numFmtId="176" fontId="55" fillId="0" borderId="0"/>
    <xf numFmtId="1" fontId="55" fillId="0" borderId="0">
      <alignment horizontal="right"/>
    </xf>
    <xf numFmtId="172" fontId="55" fillId="0" borderId="0">
      <alignment horizontal="right"/>
    </xf>
    <xf numFmtId="2" fontId="55" fillId="0" borderId="0">
      <alignment horizontal="right"/>
    </xf>
    <xf numFmtId="180" fontId="55" fillId="0" borderId="0">
      <alignment horizontal="right"/>
    </xf>
    <xf numFmtId="0" fontId="17" fillId="0" borderId="0">
      <alignment horizontal="centerContinuous" wrapText="1"/>
    </xf>
    <xf numFmtId="181" fontId="59" fillId="0" borderId="0">
      <alignment horizontal="left"/>
    </xf>
    <xf numFmtId="0" fontId="60" fillId="0" borderId="0">
      <alignment horizontal="left"/>
    </xf>
    <xf numFmtId="0" fontId="55" fillId="0" borderId="0">
      <alignment horizontal="center"/>
    </xf>
    <xf numFmtId="0" fontId="55" fillId="0" borderId="31">
      <alignment horizontal="center"/>
    </xf>
    <xf numFmtId="0" fontId="61" fillId="47" borderId="34" applyNumberFormat="0" applyAlignment="0" applyProtection="0"/>
    <xf numFmtId="0" fontId="15" fillId="0" borderId="6">
      <alignment horizontal="center" vertical="center"/>
    </xf>
    <xf numFmtId="0" fontId="12" fillId="52" borderId="8"/>
    <xf numFmtId="0" fontId="56" fillId="0" borderId="2">
      <alignment horizontal="left"/>
    </xf>
    <xf numFmtId="2" fontId="62" fillId="22" borderId="35" applyProtection="0"/>
    <xf numFmtId="2" fontId="62" fillId="22" borderId="35" applyProtection="0"/>
    <xf numFmtId="2" fontId="63" fillId="0" borderId="0" applyFill="0" applyBorder="0" applyProtection="0"/>
    <xf numFmtId="2" fontId="64" fillId="0" borderId="0" applyFill="0" applyBorder="0" applyProtection="0"/>
    <xf numFmtId="2" fontId="64" fillId="9" borderId="35" applyProtection="0"/>
    <xf numFmtId="2" fontId="64" fillId="42" borderId="35" applyProtection="0"/>
    <xf numFmtId="2" fontId="64" fillId="43" borderId="35" applyProtection="0"/>
    <xf numFmtId="2" fontId="64" fillId="43" borderId="35" applyProtection="0">
      <alignment horizontal="center"/>
    </xf>
    <xf numFmtId="2" fontId="64" fillId="42" borderId="35" applyProtection="0">
      <alignment horizontal="center"/>
    </xf>
    <xf numFmtId="0" fontId="65" fillId="0" borderId="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0"/>
    <xf numFmtId="0" fontId="68" fillId="0" borderId="0" applyNumberFormat="0" applyFill="0" applyBorder="0" applyAlignment="0" applyProtection="0"/>
    <xf numFmtId="0" fontId="46" fillId="0" borderId="26" applyNumberFormat="0" applyFill="0" applyAlignment="0" applyProtection="0"/>
    <xf numFmtId="0" fontId="47" fillId="0" borderId="27" applyNumberFormat="0" applyFill="0" applyAlignment="0" applyProtection="0"/>
    <xf numFmtId="0" fontId="48" fillId="0" borderId="28" applyNumberFormat="0" applyFill="0" applyAlignment="0" applyProtection="0"/>
    <xf numFmtId="0" fontId="48" fillId="0" borderId="0" applyNumberFormat="0" applyFill="0" applyBorder="0" applyAlignment="0" applyProtection="0"/>
    <xf numFmtId="0" fontId="70" fillId="0" borderId="36" applyNumberFormat="0" applyFill="0" applyAlignment="0" applyProtection="0"/>
    <xf numFmtId="0" fontId="61" fillId="47" borderId="34" applyNumberFormat="0" applyAlignment="0" applyProtection="0"/>
    <xf numFmtId="0" fontId="10" fillId="63" borderId="0" applyNumberFormat="0" applyFont="0" applyBorder="0" applyAlignment="0">
      <protection locked="0"/>
    </xf>
    <xf numFmtId="0" fontId="67" fillId="0" borderId="0" applyNumberFormat="0" applyFill="0" applyBorder="0" applyAlignment="0" applyProtection="0"/>
    <xf numFmtId="0" fontId="66" fillId="0" borderId="0" applyNumberFormat="0" applyFill="0" applyBorder="0" applyAlignment="0" applyProtection="0"/>
    <xf numFmtId="182" fontId="22" fillId="0" borderId="0" applyFont="0" applyFill="0" applyBorder="0" applyAlignment="0" applyProtection="0"/>
    <xf numFmtId="183" fontId="22" fillId="0" borderId="0" applyFont="0" applyFill="0" applyBorder="0" applyAlignment="0" applyProtection="0"/>
    <xf numFmtId="0" fontId="71" fillId="49" borderId="0">
      <alignment horizontal="left" vertical="center" indent="1"/>
    </xf>
    <xf numFmtId="4" fontId="12" fillId="0" borderId="0"/>
    <xf numFmtId="4" fontId="4" fillId="0" borderId="0"/>
    <xf numFmtId="4" fontId="4" fillId="0" borderId="0"/>
    <xf numFmtId="4" fontId="4" fillId="0" borderId="0"/>
    <xf numFmtId="9" fontId="1" fillId="0" borderId="0" applyFont="0" applyFill="0" applyBorder="0" applyAlignment="0" applyProtection="0"/>
    <xf numFmtId="0" fontId="87" fillId="77" borderId="0" applyNumberFormat="0" applyBorder="0" applyAlignment="0" applyProtection="0"/>
    <xf numFmtId="0" fontId="87" fillId="81" borderId="0" applyNumberFormat="0" applyBorder="0" applyAlignment="0" applyProtection="0"/>
    <xf numFmtId="0" fontId="87" fillId="85" borderId="0" applyNumberFormat="0" applyBorder="0" applyAlignment="0" applyProtection="0"/>
    <xf numFmtId="0" fontId="87" fillId="89" borderId="0" applyNumberFormat="0" applyBorder="0" applyAlignment="0" applyProtection="0"/>
    <xf numFmtId="0" fontId="87" fillId="93" borderId="0" applyNumberFormat="0" applyBorder="0" applyAlignment="0" applyProtection="0"/>
    <xf numFmtId="0" fontId="87" fillId="97" borderId="0" applyNumberFormat="0" applyBorder="0" applyAlignment="0" applyProtection="0"/>
    <xf numFmtId="0" fontId="87" fillId="78" borderId="0" applyNumberFormat="0" applyBorder="0" applyAlignment="0" applyProtection="0"/>
    <xf numFmtId="0" fontId="87" fillId="82" borderId="0" applyNumberFormat="0" applyBorder="0" applyAlignment="0" applyProtection="0"/>
    <xf numFmtId="0" fontId="87" fillId="86" borderId="0" applyNumberFormat="0" applyBorder="0" applyAlignment="0" applyProtection="0"/>
    <xf numFmtId="0" fontId="87" fillId="90" borderId="0" applyNumberFormat="0" applyBorder="0" applyAlignment="0" applyProtection="0"/>
    <xf numFmtId="0" fontId="87" fillId="94" borderId="0" applyNumberFormat="0" applyBorder="0" applyAlignment="0" applyProtection="0"/>
    <xf numFmtId="0" fontId="87" fillId="98" borderId="0" applyNumberFormat="0" applyBorder="0" applyAlignment="0" applyProtection="0"/>
    <xf numFmtId="0" fontId="88" fillId="79" borderId="0" applyNumberFormat="0" applyBorder="0" applyAlignment="0" applyProtection="0"/>
    <xf numFmtId="0" fontId="88" fillId="83" borderId="0" applyNumberFormat="0" applyBorder="0" applyAlignment="0" applyProtection="0"/>
    <xf numFmtId="0" fontId="88" fillId="87" borderId="0" applyNumberFormat="0" applyBorder="0" applyAlignment="0" applyProtection="0"/>
    <xf numFmtId="0" fontId="88" fillId="91" borderId="0" applyNumberFormat="0" applyBorder="0" applyAlignment="0" applyProtection="0"/>
    <xf numFmtId="0" fontId="88" fillId="95" borderId="0" applyNumberFormat="0" applyBorder="0" applyAlignment="0" applyProtection="0"/>
    <xf numFmtId="0" fontId="88" fillId="99" borderId="0" applyNumberFormat="0" applyBorder="0" applyAlignment="0" applyProtection="0"/>
    <xf numFmtId="0" fontId="88" fillId="76" borderId="0" applyNumberFormat="0" applyBorder="0" applyAlignment="0" applyProtection="0"/>
    <xf numFmtId="0" fontId="88" fillId="80" borderId="0" applyNumberFormat="0" applyBorder="0" applyAlignment="0" applyProtection="0"/>
    <xf numFmtId="0" fontId="88" fillId="84" borderId="0" applyNumberFormat="0" applyBorder="0" applyAlignment="0" applyProtection="0"/>
    <xf numFmtId="0" fontId="88" fillId="88" borderId="0" applyNumberFormat="0" applyBorder="0" applyAlignment="0" applyProtection="0"/>
    <xf numFmtId="0" fontId="88" fillId="92" borderId="0" applyNumberFormat="0" applyBorder="0" applyAlignment="0" applyProtection="0"/>
    <xf numFmtId="0" fontId="88" fillId="96" borderId="0" applyNumberFormat="0" applyBorder="0" applyAlignment="0" applyProtection="0"/>
    <xf numFmtId="0" fontId="89" fillId="71" borderId="0" applyNumberFormat="0" applyBorder="0" applyAlignment="0" applyProtection="0"/>
    <xf numFmtId="0" fontId="90" fillId="0" borderId="0">
      <alignment horizontal="right"/>
    </xf>
    <xf numFmtId="0" fontId="91" fillId="74" borderId="45" applyNumberFormat="0" applyAlignment="0" applyProtection="0"/>
    <xf numFmtId="0" fontId="92" fillId="75" borderId="48" applyNumberFormat="0" applyAlignment="0" applyProtection="0"/>
    <xf numFmtId="184" fontId="93" fillId="0" borderId="0" applyFont="0" applyFill="0" applyBorder="0" applyAlignment="0" applyProtection="0"/>
    <xf numFmtId="41" fontId="4" fillId="0" borderId="0" applyFill="0" applyBorder="0" applyAlignment="0" applyProtection="0"/>
    <xf numFmtId="41" fontId="93" fillId="0" borderId="0" applyFont="0" applyFill="0" applyBorder="0" applyAlignment="0" applyProtection="0"/>
    <xf numFmtId="41" fontId="93" fillId="0" borderId="0" applyFont="0" applyFill="0" applyBorder="0" applyAlignment="0" applyProtection="0"/>
    <xf numFmtId="185" fontId="15" fillId="0" borderId="0" applyFont="0" applyFill="0" applyBorder="0" applyAlignment="0" applyProtection="0"/>
    <xf numFmtId="185" fontId="15" fillId="0" borderId="0" applyFont="0" applyFill="0" applyBorder="0" applyAlignment="0" applyProtection="0"/>
    <xf numFmtId="186" fontId="15" fillId="0" borderId="0" applyFont="0" applyFill="0" applyBorder="0" applyAlignment="0" applyProtection="0"/>
    <xf numFmtId="186" fontId="15" fillId="0" borderId="0" applyFont="0" applyFill="0" applyBorder="0" applyAlignment="0" applyProtection="0"/>
    <xf numFmtId="186" fontId="15" fillId="0" borderId="0" applyFont="0" applyFill="0" applyBorder="0" applyAlignment="0" applyProtection="0"/>
    <xf numFmtId="43" fontId="4" fillId="0" borderId="0" applyFont="0" applyFill="0" applyBorder="0" applyAlignment="0" applyProtection="0"/>
    <xf numFmtId="43" fontId="4" fillId="0" borderId="0" applyFill="0" applyBorder="0" applyAlignment="0" applyProtection="0"/>
    <xf numFmtId="43" fontId="4" fillId="0" borderId="0" applyFont="0" applyFill="0" applyBorder="0" applyAlignment="0" applyProtection="0"/>
    <xf numFmtId="186" fontId="15" fillId="0" borderId="0" applyFont="0" applyFill="0" applyBorder="0" applyAlignment="0" applyProtection="0"/>
    <xf numFmtId="186" fontId="15" fillId="0" borderId="0" applyFont="0" applyFill="0" applyBorder="0" applyAlignment="0" applyProtection="0"/>
    <xf numFmtId="0" fontId="94" fillId="0" borderId="0" applyNumberFormat="0" applyFill="0" applyBorder="0" applyAlignment="0" applyProtection="0"/>
    <xf numFmtId="0" fontId="95" fillId="70" borderId="0" applyNumberFormat="0" applyBorder="0" applyAlignment="0" applyProtection="0"/>
    <xf numFmtId="0" fontId="96" fillId="73" borderId="45" applyNumberFormat="0" applyAlignment="0" applyProtection="0"/>
    <xf numFmtId="0" fontId="97" fillId="0" borderId="47" applyNumberFormat="0" applyFill="0" applyAlignment="0" applyProtection="0"/>
    <xf numFmtId="0" fontId="98" fillId="72" borderId="0" applyNumberFormat="0" applyBorder="0" applyAlignment="0" applyProtection="0"/>
    <xf numFmtId="0" fontId="4" fillId="0" borderId="0"/>
    <xf numFmtId="0" fontId="4" fillId="0" borderId="0"/>
    <xf numFmtId="0" fontId="87" fillId="0" borderId="0"/>
    <xf numFmtId="0" fontId="99" fillId="74" borderId="46" applyNumberFormat="0" applyAlignment="0" applyProtection="0"/>
    <xf numFmtId="0" fontId="12" fillId="0" borderId="0"/>
    <xf numFmtId="0" fontId="100" fillId="0" borderId="49" applyNumberFormat="0" applyFill="0" applyAlignment="0" applyProtection="0"/>
    <xf numFmtId="0" fontId="101" fillId="0" borderId="0" applyNumberFormat="0" applyFill="0" applyBorder="0" applyAlignment="0" applyProtection="0"/>
    <xf numFmtId="49" fontId="12" fillId="0" borderId="8" applyNumberFormat="0" applyFont="0" applyFill="0" applyBorder="0" applyProtection="0">
      <alignment horizontal="left" vertical="center" indent="2"/>
    </xf>
    <xf numFmtId="49" fontId="12" fillId="0" borderId="9" applyNumberFormat="0" applyFont="0" applyFill="0" applyBorder="0" applyProtection="0">
      <alignment horizontal="left" vertical="center" indent="5"/>
    </xf>
    <xf numFmtId="0" fontId="15" fillId="0" borderId="10">
      <alignment horizontal="center" vertical="center"/>
    </xf>
    <xf numFmtId="4" fontId="17" fillId="0" borderId="67" applyFill="0" applyBorder="0" applyProtection="0">
      <alignment horizontal="right" vertical="center"/>
    </xf>
    <xf numFmtId="4" fontId="12" fillId="0" borderId="8" applyFill="0" applyBorder="0" applyProtection="0">
      <alignment horizontal="right" vertical="center"/>
    </xf>
    <xf numFmtId="49" fontId="17" fillId="0" borderId="8" applyNumberFormat="0" applyFill="0" applyBorder="0" applyProtection="0">
      <alignment horizontal="left" vertical="center"/>
    </xf>
    <xf numFmtId="0" fontId="12" fillId="0" borderId="8" applyNumberFormat="0" applyFill="0" applyAlignment="0" applyProtection="0"/>
    <xf numFmtId="175" fontId="12" fillId="66" borderId="8" applyNumberFormat="0" applyFont="0" applyBorder="0" applyAlignment="0" applyProtection="0">
      <alignment horizontal="right" vertical="center"/>
    </xf>
    <xf numFmtId="0" fontId="15" fillId="0" borderId="65">
      <alignment horizontal="center" vertical="center"/>
    </xf>
    <xf numFmtId="0" fontId="12" fillId="52" borderId="8"/>
    <xf numFmtId="0" fontId="114" fillId="0" borderId="0"/>
    <xf numFmtId="2" fontId="64" fillId="43" borderId="141" applyProtection="0">
      <alignment horizontal="center"/>
    </xf>
    <xf numFmtId="0" fontId="40" fillId="19" borderId="126" applyNumberFormat="0" applyAlignment="0" applyProtection="0"/>
    <xf numFmtId="1" fontId="27" fillId="55" borderId="127" applyNumberFormat="0" applyAlignment="0">
      <protection locked="0"/>
    </xf>
    <xf numFmtId="0" fontId="10" fillId="51" borderId="94" applyNumberFormat="0" applyFont="0" applyAlignment="0"/>
    <xf numFmtId="1" fontId="27" fillId="55" borderId="99" applyNumberFormat="0" applyAlignment="0">
      <protection locked="0"/>
    </xf>
    <xf numFmtId="3" fontId="10" fillId="55" borderId="99" applyNumberFormat="0" applyAlignment="0">
      <protection locked="0"/>
    </xf>
    <xf numFmtId="0" fontId="23" fillId="54" borderId="99" applyNumberFormat="0" applyAlignment="0"/>
    <xf numFmtId="0" fontId="10" fillId="53" borderId="99" applyNumberFormat="0" applyFont="0" applyAlignment="0"/>
    <xf numFmtId="0" fontId="10" fillId="52" borderId="99" applyNumberFormat="0" applyFont="0" applyAlignment="0"/>
    <xf numFmtId="0" fontId="10" fillId="50" borderId="99" applyNumberFormat="0" applyFont="0" applyAlignment="0"/>
    <xf numFmtId="0" fontId="61" fillId="47" borderId="140" applyNumberFormat="0" applyAlignment="0" applyProtection="0"/>
    <xf numFmtId="2" fontId="64" fillId="43" borderId="123" applyProtection="0">
      <alignment horizontal="center"/>
    </xf>
    <xf numFmtId="0" fontId="61" fillId="47" borderId="91" applyNumberFormat="0" applyAlignment="0" applyProtection="0"/>
    <xf numFmtId="0" fontId="70" fillId="0" borderId="93" applyNumberFormat="0" applyFill="0" applyAlignment="0" applyProtection="0"/>
    <xf numFmtId="0" fontId="4" fillId="65" borderId="139" applyNumberFormat="0" applyFont="0" applyAlignment="0" applyProtection="0"/>
    <xf numFmtId="2" fontId="64" fillId="42" borderId="92" applyProtection="0">
      <alignment horizontal="center"/>
    </xf>
    <xf numFmtId="2" fontId="64" fillId="43" borderId="92" applyProtection="0">
      <alignment horizontal="center"/>
    </xf>
    <xf numFmtId="2" fontId="64" fillId="43" borderId="92" applyProtection="0"/>
    <xf numFmtId="0" fontId="15" fillId="0" borderId="72">
      <alignment horizontal="center" vertical="center"/>
    </xf>
    <xf numFmtId="2" fontId="64" fillId="9" borderId="92" applyProtection="0"/>
    <xf numFmtId="2" fontId="62" fillId="22" borderId="141" applyProtection="0"/>
    <xf numFmtId="2" fontId="62" fillId="22" borderId="92" applyProtection="0"/>
    <xf numFmtId="0" fontId="70" fillId="0" borderId="142" applyNumberFormat="0" applyFill="0" applyAlignment="0" applyProtection="0"/>
    <xf numFmtId="0" fontId="61" fillId="47" borderId="91" applyNumberFormat="0" applyAlignment="0" applyProtection="0"/>
    <xf numFmtId="0" fontId="33" fillId="0" borderId="135" applyNumberFormat="0" applyAlignment="0"/>
    <xf numFmtId="2" fontId="64" fillId="42" borderId="123" applyProtection="0"/>
    <xf numFmtId="0" fontId="23" fillId="54" borderId="143" applyNumberFormat="0" applyAlignment="0"/>
    <xf numFmtId="0" fontId="33" fillId="0" borderId="106" applyNumberFormat="0" applyAlignment="0"/>
    <xf numFmtId="0" fontId="10" fillId="0" borderId="78" applyNumberFormat="0" applyFont="0" applyFill="0" applyAlignment="0"/>
    <xf numFmtId="0" fontId="10" fillId="50" borderId="78" applyNumberFormat="0" applyFont="0" applyAlignment="0"/>
    <xf numFmtId="0" fontId="10" fillId="51" borderId="78" applyNumberFormat="0" applyFont="0" applyAlignment="0"/>
    <xf numFmtId="0" fontId="10" fillId="52" borderId="78" applyNumberFormat="0" applyFont="0" applyAlignment="0"/>
    <xf numFmtId="0" fontId="10" fillId="53" borderId="78" applyNumberFormat="0" applyFont="0" applyAlignment="0"/>
    <xf numFmtId="0" fontId="23" fillId="54" borderId="78" applyNumberFormat="0" applyAlignment="0"/>
    <xf numFmtId="3" fontId="10" fillId="55" borderId="78" applyNumberFormat="0" applyAlignment="0">
      <protection locked="0"/>
    </xf>
    <xf numFmtId="1" fontId="27" fillId="55" borderId="78" applyNumberFormat="0" applyAlignment="0">
      <protection locked="0"/>
    </xf>
    <xf numFmtId="0" fontId="10" fillId="22" borderId="78" applyNumberFormat="0" applyFont="0" applyAlignment="0"/>
    <xf numFmtId="3" fontId="10" fillId="10" borderId="78" applyNumberFormat="0" applyFont="0" applyAlignment="0">
      <protection locked="0"/>
    </xf>
    <xf numFmtId="1" fontId="10" fillId="0" borderId="78" applyNumberFormat="0" applyFont="0" applyAlignment="0">
      <protection locked="0"/>
    </xf>
    <xf numFmtId="0" fontId="33" fillId="0" borderId="129" applyNumberFormat="0" applyAlignment="0"/>
    <xf numFmtId="0" fontId="10" fillId="0" borderId="79" applyNumberFormat="0" applyFont="0" applyAlignment="0"/>
    <xf numFmtId="0" fontId="33" fillId="0" borderId="80" applyNumberFormat="0" applyAlignment="0"/>
    <xf numFmtId="0" fontId="33" fillId="0" borderId="79" applyNumberFormat="0" applyAlignment="0"/>
    <xf numFmtId="0" fontId="34" fillId="0" borderId="81" applyNumberFormat="0">
      <alignment wrapText="1"/>
    </xf>
    <xf numFmtId="0" fontId="36" fillId="0" borderId="82" applyNumberFormat="0">
      <alignment wrapText="1"/>
    </xf>
    <xf numFmtId="3" fontId="10" fillId="55" borderId="133" applyNumberFormat="0" applyAlignment="0">
      <protection locked="0"/>
    </xf>
    <xf numFmtId="2" fontId="62" fillId="22" borderId="123" applyProtection="0"/>
    <xf numFmtId="0" fontId="10" fillId="0" borderId="128" applyNumberFormat="0" applyFont="0" applyAlignment="0"/>
    <xf numFmtId="0" fontId="10" fillId="22" borderId="133" applyNumberFormat="0" applyFont="0" applyAlignment="0"/>
    <xf numFmtId="0" fontId="4" fillId="65" borderId="90" applyNumberFormat="0" applyFont="0" applyAlignment="0" applyProtection="0"/>
    <xf numFmtId="0" fontId="33" fillId="0" borderId="110" applyNumberFormat="0" applyAlignment="0"/>
    <xf numFmtId="0" fontId="4" fillId="65" borderId="90" applyNumberFormat="0" applyFont="0" applyAlignment="0" applyProtection="0"/>
    <xf numFmtId="0" fontId="4" fillId="65" borderId="139" applyNumberFormat="0" applyFont="0" applyAlignment="0" applyProtection="0"/>
    <xf numFmtId="0" fontId="10" fillId="0" borderId="135" applyNumberFormat="0" applyFont="0" applyAlignment="0"/>
    <xf numFmtId="0" fontId="40" fillId="19" borderId="132" applyNumberFormat="0" applyAlignment="0" applyProtection="0"/>
    <xf numFmtId="0" fontId="4" fillId="65" borderId="121" applyNumberFormat="0" applyFont="0" applyAlignment="0" applyProtection="0"/>
    <xf numFmtId="0" fontId="33" fillId="0" borderId="111" applyNumberFormat="0" applyAlignment="0"/>
    <xf numFmtId="0" fontId="26" fillId="0" borderId="120" applyNumberFormat="0" applyFill="0" applyAlignment="0"/>
    <xf numFmtId="0" fontId="10" fillId="53" borderId="133" applyNumberFormat="0" applyFont="0" applyAlignment="0"/>
    <xf numFmtId="0" fontId="26" fillId="0" borderId="134" applyNumberFormat="0" applyFill="0" applyAlignment="0"/>
    <xf numFmtId="0" fontId="33" fillId="0" borderId="136" applyNumberFormat="0" applyAlignment="0"/>
    <xf numFmtId="0" fontId="34" fillId="0" borderId="137" applyNumberFormat="0">
      <alignment wrapText="1"/>
    </xf>
    <xf numFmtId="0" fontId="40" fillId="19" borderId="83" applyNumberFormat="0" applyAlignment="0" applyProtection="0"/>
    <xf numFmtId="0" fontId="34" fillId="0" borderId="146" applyNumberFormat="0">
      <alignment wrapText="1"/>
    </xf>
    <xf numFmtId="0" fontId="36" fillId="0" borderId="131" applyNumberFormat="0">
      <alignment wrapText="1"/>
    </xf>
    <xf numFmtId="0" fontId="33" fillId="0" borderId="128" applyNumberFormat="0" applyAlignment="0"/>
    <xf numFmtId="0" fontId="40" fillId="19" borderId="83" applyNumberFormat="0" applyAlignment="0" applyProtection="0"/>
    <xf numFmtId="3" fontId="10" fillId="55" borderId="127" applyNumberFormat="0" applyAlignment="0">
      <protection locked="0"/>
    </xf>
    <xf numFmtId="0" fontId="10" fillId="51" borderId="127" applyNumberFormat="0" applyFont="0" applyAlignment="0"/>
    <xf numFmtId="0" fontId="36" fillId="0" borderId="118" applyNumberFormat="0">
      <alignment wrapText="1"/>
    </xf>
    <xf numFmtId="1" fontId="10" fillId="0" borderId="114" applyNumberFormat="0" applyFont="0" applyAlignment="0">
      <protection locked="0"/>
    </xf>
    <xf numFmtId="0" fontId="33" fillId="0" borderId="107" applyNumberFormat="0" applyAlignment="0"/>
    <xf numFmtId="0" fontId="36" fillId="0" borderId="89" applyNumberFormat="0">
      <alignment wrapText="1"/>
    </xf>
    <xf numFmtId="0" fontId="36" fillId="0" borderId="98" applyNumberFormat="0">
      <alignment wrapText="1"/>
    </xf>
    <xf numFmtId="0" fontId="34" fillId="0" borderId="88" applyNumberFormat="0">
      <alignment wrapText="1"/>
    </xf>
    <xf numFmtId="0" fontId="33" fillId="0" borderId="86" applyNumberFormat="0" applyAlignment="0"/>
    <xf numFmtId="0" fontId="33" fillId="0" borderId="87" applyNumberFormat="0" applyAlignment="0"/>
    <xf numFmtId="0" fontId="10" fillId="0" borderId="86" applyNumberFormat="0" applyFont="0" applyAlignment="0"/>
    <xf numFmtId="0" fontId="23" fillId="54" borderId="114" applyNumberFormat="0" applyAlignment="0"/>
    <xf numFmtId="0" fontId="33" fillId="0" borderId="95" applyNumberFormat="0" applyAlignment="0"/>
    <xf numFmtId="1" fontId="10" fillId="0" borderId="84" applyNumberFormat="0" applyFont="0" applyAlignment="0">
      <protection locked="0"/>
    </xf>
    <xf numFmtId="3" fontId="10" fillId="10" borderId="84" applyNumberFormat="0" applyFont="0" applyAlignment="0">
      <protection locked="0"/>
    </xf>
    <xf numFmtId="0" fontId="10" fillId="22" borderId="84" applyNumberFormat="0" applyFont="0" applyAlignment="0"/>
    <xf numFmtId="1" fontId="27" fillId="55" borderId="84" applyNumberFormat="0" applyAlignment="0">
      <protection locked="0"/>
    </xf>
    <xf numFmtId="3" fontId="10" fillId="55" borderId="84" applyNumberFormat="0" applyAlignment="0">
      <protection locked="0"/>
    </xf>
    <xf numFmtId="0" fontId="26" fillId="0" borderId="85" applyNumberFormat="0" applyFill="0" applyAlignment="0"/>
    <xf numFmtId="3" fontId="10" fillId="55" borderId="105" applyNumberFormat="0" applyAlignment="0">
      <protection locked="0"/>
    </xf>
    <xf numFmtId="0" fontId="10" fillId="0" borderId="114" applyNumberFormat="0" applyFont="0" applyFill="0" applyAlignment="0"/>
    <xf numFmtId="0" fontId="23" fillId="54" borderId="84" applyNumberFormat="0" applyAlignment="0"/>
    <xf numFmtId="0" fontId="10" fillId="53" borderId="84" applyNumberFormat="0" applyFont="0" applyAlignment="0"/>
    <xf numFmtId="0" fontId="10" fillId="52" borderId="84" applyNumberFormat="0" applyFont="0" applyAlignment="0"/>
    <xf numFmtId="0" fontId="10" fillId="51" borderId="84" applyNumberFormat="0" applyFont="0" applyAlignment="0"/>
    <xf numFmtId="0" fontId="10" fillId="50" borderId="84" applyNumberFormat="0" applyFont="0" applyAlignment="0"/>
    <xf numFmtId="0" fontId="10" fillId="0" borderId="84" applyNumberFormat="0" applyFont="0" applyFill="0" applyAlignment="0"/>
    <xf numFmtId="1" fontId="10" fillId="0" borderId="94" applyNumberFormat="0" applyFont="0" applyAlignment="0">
      <protection locked="0"/>
    </xf>
    <xf numFmtId="3" fontId="10" fillId="10" borderId="94" applyNumberFormat="0" applyFont="0" applyAlignment="0">
      <protection locked="0"/>
    </xf>
    <xf numFmtId="0" fontId="10" fillId="22" borderId="94" applyNumberFormat="0" applyFont="0" applyAlignment="0"/>
    <xf numFmtId="1" fontId="27" fillId="55" borderId="94" applyNumberFormat="0" applyAlignment="0">
      <protection locked="0"/>
    </xf>
    <xf numFmtId="3" fontId="10" fillId="55" borderId="94" applyNumberFormat="0" applyAlignment="0">
      <protection locked="0"/>
    </xf>
    <xf numFmtId="0" fontId="36" fillId="0" borderId="103" applyNumberFormat="0">
      <alignment wrapText="1"/>
    </xf>
    <xf numFmtId="0" fontId="23" fillId="54" borderId="94" applyNumberFormat="0" applyAlignment="0"/>
    <xf numFmtId="0" fontId="10" fillId="53" borderId="94" applyNumberFormat="0" applyFont="0" applyAlignment="0"/>
    <xf numFmtId="0" fontId="10" fillId="52" borderId="94" applyNumberFormat="0" applyFont="0" applyAlignment="0"/>
    <xf numFmtId="0" fontId="10" fillId="0" borderId="94" applyNumberFormat="0" applyFont="0" applyFill="0" applyAlignment="0"/>
    <xf numFmtId="0" fontId="34" fillId="0" borderId="102" applyNumberFormat="0">
      <alignment wrapText="1"/>
    </xf>
    <xf numFmtId="0" fontId="33" fillId="0" borderId="100" applyNumberFormat="0" applyAlignment="0"/>
    <xf numFmtId="0" fontId="33" fillId="0" borderId="101" applyNumberFormat="0" applyAlignment="0"/>
    <xf numFmtId="0" fontId="10" fillId="51" borderId="105" applyNumberFormat="0" applyFont="0" applyAlignment="0"/>
    <xf numFmtId="3" fontId="10" fillId="10" borderId="99" applyNumberFormat="0" applyFont="0" applyAlignment="0">
      <protection locked="0"/>
    </xf>
    <xf numFmtId="0" fontId="16" fillId="47" borderId="83" applyNumberFormat="0" applyAlignment="0" applyProtection="0"/>
    <xf numFmtId="0" fontId="16" fillId="47" borderId="83" applyNumberFormat="0" applyAlignment="0" applyProtection="0"/>
    <xf numFmtId="2" fontId="64" fillId="43" borderId="123" applyProtection="0"/>
    <xf numFmtId="2" fontId="62" fillId="22" borderId="123" applyProtection="0"/>
    <xf numFmtId="0" fontId="10" fillId="52" borderId="114" applyNumberFormat="0" applyFont="0" applyAlignment="0"/>
    <xf numFmtId="1" fontId="27" fillId="55" borderId="143" applyNumberFormat="0" applyAlignment="0">
      <protection locked="0"/>
    </xf>
    <xf numFmtId="0" fontId="10" fillId="22" borderId="105" applyNumberFormat="0" applyFont="0" applyAlignment="0"/>
    <xf numFmtId="0" fontId="10" fillId="51" borderId="99" applyNumberFormat="0" applyFont="0" applyAlignment="0"/>
    <xf numFmtId="0" fontId="10" fillId="0" borderId="99" applyNumberFormat="0" applyFont="0" applyFill="0" applyAlignment="0"/>
    <xf numFmtId="0" fontId="11" fillId="65" borderId="121" applyNumberFormat="0" applyFont="0" applyAlignment="0" applyProtection="0"/>
    <xf numFmtId="0" fontId="10" fillId="53" borderId="127" applyNumberFormat="0" applyFont="0" applyAlignment="0"/>
    <xf numFmtId="0" fontId="10" fillId="51" borderId="114" applyNumberFormat="0" applyFont="0" applyAlignment="0"/>
    <xf numFmtId="0" fontId="10" fillId="50" borderId="94" applyNumberFormat="0" applyFont="0" applyAlignment="0"/>
    <xf numFmtId="0" fontId="23" fillId="54" borderId="105" applyNumberFormat="0" applyAlignment="0"/>
    <xf numFmtId="0" fontId="10" fillId="50" borderId="105" applyNumberFormat="0" applyFont="0" applyAlignment="0"/>
    <xf numFmtId="1" fontId="10" fillId="0" borderId="99" applyNumberFormat="0" applyFont="0" applyAlignment="0">
      <protection locked="0"/>
    </xf>
    <xf numFmtId="0" fontId="10" fillId="22" borderId="99" applyNumberFormat="0" applyFont="0" applyAlignment="0"/>
    <xf numFmtId="2" fontId="64" fillId="42" borderId="141" applyProtection="0">
      <alignment horizontal="center"/>
    </xf>
    <xf numFmtId="0" fontId="34" fillId="0" borderId="112" applyNumberFormat="0">
      <alignment wrapText="1"/>
    </xf>
    <xf numFmtId="2" fontId="64" fillId="42" borderId="141" applyProtection="0"/>
    <xf numFmtId="0" fontId="4" fillId="65" borderId="121" applyNumberFormat="0" applyFont="0" applyAlignment="0" applyProtection="0"/>
    <xf numFmtId="0" fontId="10" fillId="0" borderId="105" applyNumberFormat="0" applyFont="0" applyFill="0" applyAlignment="0"/>
    <xf numFmtId="2" fontId="64" fillId="42" borderId="92" applyProtection="0"/>
    <xf numFmtId="2" fontId="62" fillId="22" borderId="92" applyProtection="0"/>
    <xf numFmtId="0" fontId="15" fillId="0" borderId="125">
      <alignment horizontal="center" vertical="center"/>
    </xf>
    <xf numFmtId="0" fontId="10" fillId="22" borderId="127" applyNumberFormat="0" applyFont="0" applyAlignment="0"/>
    <xf numFmtId="0" fontId="10" fillId="52" borderId="105" applyNumberFormat="0" applyFont="0" applyAlignment="0"/>
    <xf numFmtId="0" fontId="10" fillId="52" borderId="133" applyNumberFormat="0" applyFont="0" applyAlignment="0"/>
    <xf numFmtId="0" fontId="11" fillId="65" borderId="90" applyNumberFormat="0" applyFont="0" applyAlignment="0" applyProtection="0"/>
    <xf numFmtId="0" fontId="61" fillId="47" borderId="140" applyNumberFormat="0" applyAlignment="0" applyProtection="0"/>
    <xf numFmtId="0" fontId="36" fillId="0" borderId="113" applyNumberFormat="0">
      <alignment wrapText="1"/>
    </xf>
    <xf numFmtId="0" fontId="36" fillId="0" borderId="147" applyNumberFormat="0">
      <alignment wrapText="1"/>
    </xf>
    <xf numFmtId="1" fontId="10" fillId="0" borderId="143" applyNumberFormat="0" applyFont="0" applyAlignment="0">
      <protection locked="0"/>
    </xf>
    <xf numFmtId="0" fontId="34" fillId="0" borderId="97" applyNumberFormat="0">
      <alignment wrapText="1"/>
    </xf>
    <xf numFmtId="0" fontId="40" fillId="19" borderId="126" applyNumberFormat="0" applyAlignment="0" applyProtection="0"/>
    <xf numFmtId="0" fontId="11" fillId="65" borderId="139" applyNumberFormat="0" applyFont="0" applyAlignment="0" applyProtection="0"/>
    <xf numFmtId="2" fontId="64" fillId="9" borderId="123" applyProtection="0"/>
    <xf numFmtId="0" fontId="15" fillId="0" borderId="72">
      <alignment horizontal="center" vertical="center"/>
    </xf>
    <xf numFmtId="0" fontId="16" fillId="47" borderId="126" applyNumberFormat="0" applyAlignment="0" applyProtection="0"/>
    <xf numFmtId="0" fontId="34" fillId="0" borderId="117" applyNumberFormat="0">
      <alignment wrapText="1"/>
    </xf>
    <xf numFmtId="0" fontId="34" fillId="0" borderId="108" applyNumberFormat="0">
      <alignment wrapText="1"/>
    </xf>
    <xf numFmtId="0" fontId="33" fillId="0" borderId="96" applyNumberFormat="0" applyAlignment="0"/>
    <xf numFmtId="0" fontId="10" fillId="53" borderId="143" applyNumberFormat="0" applyFont="0" applyAlignment="0"/>
    <xf numFmtId="2" fontId="64" fillId="43" borderId="141" applyProtection="0"/>
    <xf numFmtId="0" fontId="16" fillId="47" borderId="126" applyNumberFormat="0" applyAlignment="0" applyProtection="0"/>
    <xf numFmtId="0" fontId="23" fillId="54" borderId="133" applyNumberFormat="0" applyAlignment="0"/>
    <xf numFmtId="0" fontId="10" fillId="0" borderId="110" applyNumberFormat="0" applyFont="0" applyAlignment="0"/>
    <xf numFmtId="1" fontId="10" fillId="0" borderId="133" applyNumberFormat="0" applyFont="0" applyAlignment="0">
      <protection locked="0"/>
    </xf>
    <xf numFmtId="0" fontId="10" fillId="50" borderId="133" applyNumberFormat="0" applyFont="0" applyAlignment="0"/>
    <xf numFmtId="0" fontId="16" fillId="47" borderId="132" applyNumberFormat="0" applyAlignment="0" applyProtection="0"/>
    <xf numFmtId="1" fontId="27" fillId="55" borderId="133" applyNumberFormat="0" applyAlignment="0">
      <protection locked="0"/>
    </xf>
    <xf numFmtId="0" fontId="15" fillId="0" borderId="119">
      <alignment horizontal="center" vertical="center"/>
    </xf>
    <xf numFmtId="0" fontId="16" fillId="47" borderId="132" applyNumberFormat="0" applyAlignment="0" applyProtection="0"/>
    <xf numFmtId="0" fontId="40" fillId="19" borderId="132" applyNumberFormat="0" applyAlignment="0" applyProtection="0"/>
    <xf numFmtId="0" fontId="10" fillId="52" borderId="143" applyNumberFormat="0" applyFont="0" applyAlignment="0"/>
    <xf numFmtId="0" fontId="34" fillId="0" borderId="130" applyNumberFormat="0">
      <alignment wrapText="1"/>
    </xf>
    <xf numFmtId="0" fontId="10" fillId="0" borderId="95" applyNumberFormat="0" applyFont="0" applyAlignment="0"/>
    <xf numFmtId="0" fontId="23" fillId="54" borderId="127" applyNumberFormat="0" applyAlignment="0"/>
    <xf numFmtId="0" fontId="33" fillId="0" borderId="116" applyNumberFormat="0" applyAlignment="0"/>
    <xf numFmtId="3" fontId="10" fillId="55" borderId="114" applyNumberFormat="0" applyAlignment="0">
      <protection locked="0"/>
    </xf>
    <xf numFmtId="0" fontId="36" fillId="0" borderId="109" applyNumberFormat="0">
      <alignment wrapText="1"/>
    </xf>
    <xf numFmtId="1" fontId="10" fillId="0" borderId="105" applyNumberFormat="0" applyFont="0" applyAlignment="0">
      <protection locked="0"/>
    </xf>
    <xf numFmtId="0" fontId="33" fillId="0" borderId="115" applyNumberFormat="0" applyAlignment="0"/>
    <xf numFmtId="0" fontId="70" fillId="0" borderId="124" applyNumberFormat="0" applyFill="0" applyAlignment="0" applyProtection="0"/>
    <xf numFmtId="0" fontId="61" fillId="47" borderId="122" applyNumberFormat="0" applyAlignment="0" applyProtection="0"/>
    <xf numFmtId="0" fontId="10" fillId="51" borderId="133" applyNumberFormat="0" applyFont="0" applyAlignment="0"/>
    <xf numFmtId="0" fontId="36" fillId="0" borderId="138" applyNumberFormat="0">
      <alignment wrapText="1"/>
    </xf>
    <xf numFmtId="0" fontId="10" fillId="22" borderId="114" applyNumberFormat="0" applyFont="0" applyAlignment="0"/>
    <xf numFmtId="0" fontId="10" fillId="0" borderId="100" applyNumberFormat="0" applyFont="0" applyAlignment="0"/>
    <xf numFmtId="3" fontId="10" fillId="10" borderId="143" applyNumberFormat="0" applyFont="0" applyAlignment="0">
      <protection locked="0"/>
    </xf>
    <xf numFmtId="3" fontId="10" fillId="10" borderId="127" applyNumberFormat="0" applyFont="0" applyAlignment="0">
      <protection locked="0"/>
    </xf>
    <xf numFmtId="0" fontId="10" fillId="0" borderId="133" applyNumberFormat="0" applyFont="0" applyFill="0" applyAlignment="0"/>
    <xf numFmtId="0" fontId="33" fillId="0" borderId="145" applyNumberFormat="0" applyAlignment="0"/>
    <xf numFmtId="0" fontId="10" fillId="50" borderId="114" applyNumberFormat="0" applyFont="0" applyAlignment="0"/>
    <xf numFmtId="3" fontId="10" fillId="10" borderId="105" applyNumberFormat="0" applyFont="0" applyAlignment="0">
      <protection locked="0"/>
    </xf>
    <xf numFmtId="1" fontId="27" fillId="55" borderId="105" applyNumberFormat="0" applyAlignment="0">
      <protection locked="0"/>
    </xf>
    <xf numFmtId="0" fontId="10" fillId="53" borderId="105" applyNumberFormat="0" applyFont="0" applyAlignment="0"/>
    <xf numFmtId="1" fontId="10" fillId="0" borderId="127" applyNumberFormat="0" applyFont="0" applyAlignment="0">
      <protection locked="0"/>
    </xf>
    <xf numFmtId="0" fontId="10" fillId="0" borderId="127" applyNumberFormat="0" applyFont="0" applyFill="0" applyAlignment="0"/>
    <xf numFmtId="0" fontId="10" fillId="0" borderId="106" applyNumberFormat="0" applyFont="0" applyAlignment="0"/>
    <xf numFmtId="0" fontId="33" fillId="0" borderId="144" applyNumberFormat="0" applyAlignment="0"/>
    <xf numFmtId="0" fontId="10" fillId="0" borderId="143" applyNumberFormat="0" applyFont="0" applyFill="0" applyAlignment="0"/>
    <xf numFmtId="2" fontId="64" fillId="42" borderId="123" applyProtection="0">
      <alignment horizontal="center"/>
    </xf>
    <xf numFmtId="3" fontId="10" fillId="10" borderId="114" applyNumberFormat="0" applyFont="0" applyAlignment="0">
      <protection locked="0"/>
    </xf>
    <xf numFmtId="1" fontId="27" fillId="55" borderId="114" applyNumberFormat="0" applyAlignment="0">
      <protection locked="0"/>
    </xf>
    <xf numFmtId="0" fontId="10" fillId="53" borderId="114" applyNumberFormat="0" applyFont="0" applyAlignment="0"/>
    <xf numFmtId="0" fontId="61" fillId="47" borderId="122" applyNumberFormat="0" applyAlignment="0" applyProtection="0"/>
    <xf numFmtId="0" fontId="10" fillId="50" borderId="143" applyNumberFormat="0" applyFont="0" applyAlignment="0"/>
    <xf numFmtId="0" fontId="10" fillId="0" borderId="115" applyNumberFormat="0" applyFont="0" applyAlignment="0"/>
    <xf numFmtId="2" fontId="64" fillId="9" borderId="141" applyProtection="0"/>
    <xf numFmtId="0" fontId="10" fillId="52" borderId="127" applyNumberFormat="0" applyFont="0" applyAlignment="0"/>
    <xf numFmtId="0" fontId="10" fillId="50" borderId="127" applyNumberFormat="0" applyFont="0" applyAlignment="0"/>
    <xf numFmtId="0" fontId="10" fillId="22" borderId="143" applyNumberFormat="0" applyFont="0" applyAlignment="0"/>
    <xf numFmtId="3" fontId="10" fillId="10" borderId="133" applyNumberFormat="0" applyFont="0" applyAlignment="0">
      <protection locked="0"/>
    </xf>
    <xf numFmtId="0" fontId="10" fillId="51" borderId="143" applyNumberFormat="0" applyFont="0" applyAlignment="0"/>
    <xf numFmtId="0" fontId="15" fillId="0" borderId="119">
      <alignment horizontal="center" vertical="center"/>
    </xf>
    <xf numFmtId="0" fontId="15" fillId="0" borderId="125">
      <alignment horizontal="center" vertical="center"/>
    </xf>
    <xf numFmtId="2" fontId="62" fillId="22" borderId="141" applyProtection="0"/>
    <xf numFmtId="3" fontId="10" fillId="55" borderId="143" applyNumberFormat="0" applyAlignment="0">
      <protection locked="0"/>
    </xf>
    <xf numFmtId="0" fontId="10" fillId="0" borderId="144" applyNumberFormat="0" applyFont="0" applyAlignment="0"/>
    <xf numFmtId="0" fontId="36" fillId="0" borderId="182" applyNumberFormat="0">
      <alignment wrapText="1"/>
    </xf>
    <xf numFmtId="1" fontId="10" fillId="0" borderId="178" applyNumberFormat="0" applyFont="0" applyAlignment="0">
      <protection locked="0"/>
    </xf>
    <xf numFmtId="0" fontId="10" fillId="53" borderId="184" applyNumberFormat="0" applyFont="0" applyAlignment="0"/>
    <xf numFmtId="0" fontId="36" fillId="0" borderId="188" applyNumberFormat="0">
      <alignment wrapText="1"/>
    </xf>
    <xf numFmtId="0" fontId="4" fillId="65" borderId="201" applyNumberFormat="0" applyFont="0" applyAlignment="0" applyProtection="0"/>
    <xf numFmtId="3" fontId="10" fillId="55" borderId="178" applyNumberFormat="0" applyAlignment="0">
      <protection locked="0"/>
    </xf>
    <xf numFmtId="0" fontId="10" fillId="51" borderId="195" applyNumberFormat="0" applyFont="0" applyAlignment="0"/>
    <xf numFmtId="0" fontId="34" fillId="0" borderId="187" applyNumberFormat="0">
      <alignment wrapText="1"/>
    </xf>
    <xf numFmtId="0" fontId="10" fillId="0" borderId="189" applyNumberFormat="0" applyFont="0" applyFill="0" applyAlignment="0"/>
    <xf numFmtId="0" fontId="16" fillId="47" borderId="194" applyNumberFormat="0" applyAlignment="0" applyProtection="0"/>
    <xf numFmtId="0" fontId="10" fillId="53" borderId="189" applyNumberFormat="0" applyFont="0" applyAlignment="0"/>
    <xf numFmtId="2" fontId="64" fillId="9" borderId="203" applyProtection="0"/>
    <xf numFmtId="0" fontId="34" fillId="0" borderId="199" applyNumberFormat="0">
      <alignment wrapText="1"/>
    </xf>
    <xf numFmtId="0" fontId="33" fillId="0" borderId="185" applyNumberFormat="0" applyAlignment="0"/>
    <xf numFmtId="0" fontId="10" fillId="0" borderId="178" applyNumberFormat="0" applyFont="0" applyFill="0" applyAlignment="0"/>
    <xf numFmtId="0" fontId="10" fillId="50" borderId="178" applyNumberFormat="0" applyFont="0" applyAlignment="0"/>
    <xf numFmtId="0" fontId="10" fillId="0" borderId="167" applyNumberFormat="0" applyFont="0" applyFill="0" applyAlignment="0"/>
    <xf numFmtId="0" fontId="10" fillId="50" borderId="167" applyNumberFormat="0" applyFont="0" applyAlignment="0"/>
    <xf numFmtId="0" fontId="10" fillId="51" borderId="167" applyNumberFormat="0" applyFont="0" applyAlignment="0"/>
    <xf numFmtId="0" fontId="10" fillId="52" borderId="167" applyNumberFormat="0" applyFont="0" applyAlignment="0"/>
    <xf numFmtId="0" fontId="10" fillId="53" borderId="167" applyNumberFormat="0" applyFont="0" applyAlignment="0"/>
    <xf numFmtId="0" fontId="23" fillId="54" borderId="167" applyNumberFormat="0" applyAlignment="0"/>
    <xf numFmtId="0" fontId="10" fillId="51" borderId="178" applyNumberFormat="0" applyFont="0" applyAlignment="0"/>
    <xf numFmtId="0" fontId="10" fillId="52" borderId="178" applyNumberFormat="0" applyFont="0" applyAlignment="0"/>
    <xf numFmtId="0" fontId="10" fillId="53" borderId="178" applyNumberFormat="0" applyFont="0" applyAlignment="0"/>
    <xf numFmtId="3" fontId="10" fillId="55" borderId="167" applyNumberFormat="0" applyAlignment="0">
      <protection locked="0"/>
    </xf>
    <xf numFmtId="1" fontId="27" fillId="55" borderId="167" applyNumberFormat="0" applyAlignment="0">
      <protection locked="0"/>
    </xf>
    <xf numFmtId="0" fontId="10" fillId="22" borderId="167" applyNumberFormat="0" applyFont="0" applyAlignment="0"/>
    <xf numFmtId="3" fontId="10" fillId="10" borderId="167" applyNumberFormat="0" applyFont="0" applyAlignment="0">
      <protection locked="0"/>
    </xf>
    <xf numFmtId="1" fontId="10" fillId="0" borderId="167" applyNumberFormat="0" applyFont="0" applyAlignment="0">
      <protection locked="0"/>
    </xf>
    <xf numFmtId="0" fontId="23" fillId="54" borderId="178" applyNumberFormat="0" applyAlignment="0"/>
    <xf numFmtId="0" fontId="10" fillId="0" borderId="184" applyNumberFormat="0" applyFont="0" applyFill="0" applyAlignment="0"/>
    <xf numFmtId="0" fontId="10" fillId="0" borderId="168" applyNumberFormat="0" applyFont="0" applyAlignment="0"/>
    <xf numFmtId="0" fontId="33" fillId="0" borderId="169" applyNumberFormat="0" applyAlignment="0"/>
    <xf numFmtId="0" fontId="33" fillId="0" borderId="168" applyNumberFormat="0" applyAlignment="0"/>
    <xf numFmtId="1" fontId="27" fillId="55" borderId="178" applyNumberFormat="0" applyAlignment="0">
      <protection locked="0"/>
    </xf>
    <xf numFmtId="0" fontId="36" fillId="0" borderId="171" applyNumberFormat="0">
      <alignment wrapText="1"/>
    </xf>
    <xf numFmtId="0" fontId="10" fillId="22" borderId="178" applyNumberFormat="0" applyFont="0" applyAlignment="0"/>
    <xf numFmtId="0" fontId="10" fillId="50" borderId="184" applyNumberFormat="0" applyFont="0" applyAlignment="0"/>
    <xf numFmtId="0" fontId="10" fillId="0" borderId="179" applyNumberFormat="0" applyFont="0" applyAlignment="0"/>
    <xf numFmtId="0" fontId="33" fillId="0" borderId="179" applyNumberFormat="0" applyAlignment="0"/>
    <xf numFmtId="0" fontId="34" fillId="0" borderId="181" applyNumberFormat="0">
      <alignment wrapText="1"/>
    </xf>
    <xf numFmtId="1" fontId="27" fillId="55" borderId="184" applyNumberFormat="0" applyAlignment="0">
      <protection locked="0"/>
    </xf>
    <xf numFmtId="0" fontId="33" fillId="0" borderId="186" applyNumberFormat="0" applyAlignment="0"/>
    <xf numFmtId="0" fontId="10" fillId="52" borderId="195" applyNumberFormat="0" applyFont="0" applyAlignment="0"/>
    <xf numFmtId="0" fontId="23" fillId="54" borderId="195" applyNumberFormat="0" applyAlignment="0"/>
    <xf numFmtId="0" fontId="26" fillId="0" borderId="196" applyNumberFormat="0" applyFill="0" applyAlignment="0"/>
    <xf numFmtId="0" fontId="10" fillId="0" borderId="197" applyNumberFormat="0" applyFont="0" applyAlignment="0"/>
    <xf numFmtId="0" fontId="36" fillId="0" borderId="200" applyNumberFormat="0">
      <alignment wrapText="1"/>
    </xf>
    <xf numFmtId="0" fontId="11" fillId="65" borderId="201" applyNumberFormat="0" applyFont="0" applyAlignment="0" applyProtection="0"/>
    <xf numFmtId="0" fontId="34" fillId="0" borderId="192" applyNumberFormat="0">
      <alignment wrapText="1"/>
    </xf>
    <xf numFmtId="0" fontId="10" fillId="22" borderId="189" applyNumberFormat="0" applyFont="0" applyAlignment="0"/>
    <xf numFmtId="3" fontId="10" fillId="55" borderId="189" applyNumberFormat="0" applyAlignment="0">
      <protection locked="0"/>
    </xf>
    <xf numFmtId="0" fontId="10" fillId="52" borderId="189" applyNumberFormat="0" applyFont="0" applyAlignment="0"/>
    <xf numFmtId="0" fontId="10" fillId="51" borderId="189" applyNumberFormat="0" applyFont="0" applyAlignment="0"/>
    <xf numFmtId="0" fontId="36" fillId="0" borderId="177" applyNumberFormat="0">
      <alignment wrapText="1"/>
    </xf>
    <xf numFmtId="0" fontId="33" fillId="0" borderId="175" applyNumberFormat="0" applyAlignment="0"/>
    <xf numFmtId="0" fontId="10" fillId="0" borderId="174" applyNumberFormat="0" applyFont="0" applyAlignment="0"/>
    <xf numFmtId="1" fontId="10" fillId="0" borderId="173" applyNumberFormat="0" applyFont="0" applyAlignment="0">
      <protection locked="0"/>
    </xf>
    <xf numFmtId="1" fontId="27" fillId="55" borderId="173" applyNumberFormat="0" applyAlignment="0">
      <protection locked="0"/>
    </xf>
    <xf numFmtId="3" fontId="10" fillId="55" borderId="173" applyNumberFormat="0" applyAlignment="0">
      <protection locked="0"/>
    </xf>
    <xf numFmtId="0" fontId="23" fillId="54" borderId="173" applyNumberFormat="0" applyAlignment="0"/>
    <xf numFmtId="0" fontId="10" fillId="52" borderId="173" applyNumberFormat="0" applyFont="0" applyAlignment="0"/>
    <xf numFmtId="0" fontId="36" fillId="0" borderId="165" applyNumberFormat="0">
      <alignment wrapText="1"/>
    </xf>
    <xf numFmtId="0" fontId="10" fillId="51" borderId="173" applyNumberFormat="0" applyFont="0" applyAlignment="0"/>
    <xf numFmtId="0" fontId="34" fillId="0" borderId="164" applyNumberFormat="0">
      <alignment wrapText="1"/>
    </xf>
    <xf numFmtId="0" fontId="33" fillId="0" borderId="162" applyNumberFormat="0" applyAlignment="0"/>
    <xf numFmtId="0" fontId="33" fillId="0" borderId="163" applyNumberFormat="0" applyAlignment="0"/>
    <xf numFmtId="0" fontId="10" fillId="0" borderId="162" applyNumberFormat="0" applyFont="0" applyAlignment="0"/>
    <xf numFmtId="0" fontId="10" fillId="50" borderId="173" applyNumberFormat="0" applyFont="0" applyAlignment="0"/>
    <xf numFmtId="1" fontId="10" fillId="0" borderId="161" applyNumberFormat="0" applyFont="0" applyAlignment="0">
      <protection locked="0"/>
    </xf>
    <xf numFmtId="3" fontId="10" fillId="10" borderId="161" applyNumberFormat="0" applyFont="0" applyAlignment="0">
      <protection locked="0"/>
    </xf>
    <xf numFmtId="0" fontId="10" fillId="22" borderId="161" applyNumberFormat="0" applyFont="0" applyAlignment="0"/>
    <xf numFmtId="1" fontId="27" fillId="55" borderId="161" applyNumberFormat="0" applyAlignment="0">
      <protection locked="0"/>
    </xf>
    <xf numFmtId="3" fontId="10" fillId="55" borderId="161" applyNumberFormat="0" applyAlignment="0">
      <protection locked="0"/>
    </xf>
    <xf numFmtId="2" fontId="64" fillId="43" borderId="203" applyProtection="0"/>
    <xf numFmtId="2" fontId="64" fillId="43" borderId="203" applyProtection="0">
      <alignment horizontal="center"/>
    </xf>
    <xf numFmtId="0" fontId="23" fillId="54" borderId="161" applyNumberFormat="0" applyAlignment="0"/>
    <xf numFmtId="0" fontId="10" fillId="53" borderId="161" applyNumberFormat="0" applyFont="0" applyAlignment="0"/>
    <xf numFmtId="0" fontId="10" fillId="52" borderId="161" applyNumberFormat="0" applyFont="0" applyAlignment="0"/>
    <xf numFmtId="0" fontId="10" fillId="51" borderId="161" applyNumberFormat="0" applyFont="0" applyAlignment="0"/>
    <xf numFmtId="0" fontId="10" fillId="50" borderId="161" applyNumberFormat="0" applyFont="0" applyAlignment="0"/>
    <xf numFmtId="0" fontId="10" fillId="0" borderId="161" applyNumberFormat="0" applyFont="0" applyFill="0" applyAlignment="0"/>
    <xf numFmtId="2" fontId="64" fillId="42" borderId="203" applyProtection="0">
      <alignment horizontal="center"/>
    </xf>
    <xf numFmtId="0" fontId="61" fillId="47" borderId="202" applyNumberFormat="0" applyAlignment="0" applyProtection="0"/>
    <xf numFmtId="0" fontId="33" fillId="0" borderId="191" applyNumberFormat="0" applyAlignment="0"/>
    <xf numFmtId="0" fontId="10" fillId="51" borderId="184" applyNumberFormat="0" applyFont="0" applyAlignment="0"/>
    <xf numFmtId="0" fontId="70" fillId="0" borderId="204" applyNumberFormat="0" applyFill="0" applyAlignment="0" applyProtection="0"/>
    <xf numFmtId="3" fontId="10" fillId="10" borderId="195" applyNumberFormat="0" applyFont="0" applyAlignment="0">
      <protection locked="0"/>
    </xf>
    <xf numFmtId="0" fontId="33" fillId="0" borderId="180" applyNumberFormat="0" applyAlignment="0"/>
    <xf numFmtId="0" fontId="10" fillId="0" borderId="190" applyNumberFormat="0" applyFont="0" applyAlignment="0"/>
    <xf numFmtId="0" fontId="40" fillId="19" borderId="194" applyNumberFormat="0" applyAlignment="0" applyProtection="0"/>
    <xf numFmtId="0" fontId="10" fillId="22" borderId="173" applyNumberFormat="0" applyFont="0" applyAlignment="0"/>
    <xf numFmtId="0" fontId="16" fillId="47" borderId="194" applyNumberFormat="0" applyAlignment="0" applyProtection="0"/>
    <xf numFmtId="0" fontId="33" fillId="0" borderId="190" applyNumberFormat="0" applyAlignment="0"/>
    <xf numFmtId="0" fontId="10" fillId="53" borderId="195" applyNumberFormat="0" applyFont="0" applyAlignment="0"/>
    <xf numFmtId="0" fontId="34" fillId="0" borderId="170" applyNumberFormat="0">
      <alignment wrapText="1"/>
    </xf>
    <xf numFmtId="3" fontId="10" fillId="10" borderId="178" applyNumberFormat="0" applyFont="0" applyAlignment="0">
      <protection locked="0"/>
    </xf>
    <xf numFmtId="3" fontId="10" fillId="10" borderId="184" applyNumberFormat="0" applyFont="0" applyAlignment="0">
      <protection locked="0"/>
    </xf>
    <xf numFmtId="0" fontId="33" fillId="0" borderId="197" applyNumberFormat="0" applyAlignment="0"/>
    <xf numFmtId="0" fontId="34" fillId="0" borderId="176" applyNumberFormat="0">
      <alignment wrapText="1"/>
    </xf>
    <xf numFmtId="0" fontId="10" fillId="0" borderId="173" applyNumberFormat="0" applyFont="0" applyFill="0" applyAlignment="0"/>
    <xf numFmtId="0" fontId="33" fillId="0" borderId="174" applyNumberFormat="0" applyAlignment="0"/>
    <xf numFmtId="0" fontId="61" fillId="47" borderId="202" applyNumberFormat="0" applyAlignment="0" applyProtection="0"/>
    <xf numFmtId="0" fontId="10" fillId="53" borderId="173" applyNumberFormat="0" applyFont="0" applyAlignment="0"/>
    <xf numFmtId="2" fontId="62" fillId="22" borderId="203" applyProtection="0"/>
    <xf numFmtId="1" fontId="10" fillId="0" borderId="189" applyNumberFormat="0" applyFont="0" applyAlignment="0">
      <protection locked="0"/>
    </xf>
    <xf numFmtId="0" fontId="23" fillId="54" borderId="189" applyNumberFormat="0" applyAlignment="0"/>
    <xf numFmtId="0" fontId="33" fillId="0" borderId="198" applyNumberFormat="0" applyAlignment="0"/>
    <xf numFmtId="3" fontId="10" fillId="10" borderId="173" applyNumberFormat="0" applyFont="0" applyAlignment="0">
      <protection locked="0"/>
    </xf>
    <xf numFmtId="0" fontId="36" fillId="0" borderId="193" applyNumberFormat="0">
      <alignment wrapText="1"/>
    </xf>
    <xf numFmtId="1" fontId="27" fillId="55" borderId="195" applyNumberFormat="0" applyAlignment="0">
      <protection locked="0"/>
    </xf>
    <xf numFmtId="0" fontId="23" fillId="54" borderId="184" applyNumberFormat="0" applyAlignment="0"/>
    <xf numFmtId="0" fontId="10" fillId="0" borderId="195" applyNumberFormat="0" applyFont="0" applyFill="0" applyAlignment="0"/>
    <xf numFmtId="1" fontId="10" fillId="0" borderId="184" applyNumberFormat="0" applyFont="0" applyAlignment="0">
      <protection locked="0"/>
    </xf>
    <xf numFmtId="0" fontId="10" fillId="22" borderId="184" applyNumberFormat="0" applyFont="0" applyAlignment="0"/>
    <xf numFmtId="3" fontId="10" fillId="55" borderId="184" applyNumberFormat="0" applyAlignment="0">
      <protection locked="0"/>
    </xf>
    <xf numFmtId="0" fontId="10" fillId="52" borderId="184" applyNumberFormat="0" applyFont="0" applyAlignment="0"/>
    <xf numFmtId="1" fontId="10" fillId="0" borderId="195" applyNumberFormat="0" applyFont="0" applyAlignment="0">
      <protection locked="0"/>
    </xf>
    <xf numFmtId="0" fontId="40" fillId="19" borderId="194" applyNumberFormat="0" applyAlignment="0" applyProtection="0"/>
    <xf numFmtId="0" fontId="4" fillId="65" borderId="201" applyNumberFormat="0" applyFont="0" applyAlignment="0" applyProtection="0"/>
    <xf numFmtId="0" fontId="10" fillId="50" borderId="189" applyNumberFormat="0" applyFont="0" applyAlignment="0"/>
    <xf numFmtId="3" fontId="10" fillId="10" borderId="189" applyNumberFormat="0" applyFont="0" applyAlignment="0">
      <protection locked="0"/>
    </xf>
    <xf numFmtId="1" fontId="27" fillId="55" borderId="189" applyNumberFormat="0" applyAlignment="0">
      <protection locked="0"/>
    </xf>
    <xf numFmtId="0" fontId="10" fillId="0" borderId="185" applyNumberFormat="0" applyFont="0" applyAlignment="0"/>
    <xf numFmtId="0" fontId="10" fillId="22" borderId="195" applyNumberFormat="0" applyFont="0" applyAlignment="0"/>
    <xf numFmtId="3" fontId="10" fillId="55" borderId="195" applyNumberFormat="0" applyAlignment="0">
      <protection locked="0"/>
    </xf>
    <xf numFmtId="0" fontId="10" fillId="50" borderId="195" applyNumberFormat="0" applyFont="0" applyAlignment="0"/>
    <xf numFmtId="2" fontId="64" fillId="42" borderId="203" applyProtection="0"/>
    <xf numFmtId="2" fontId="62" fillId="22" borderId="203" applyProtection="0"/>
    <xf numFmtId="0" fontId="15" fillId="0" borderId="0"/>
  </cellStyleXfs>
  <cellXfs count="1297">
    <xf numFmtId="0" fontId="0" fillId="0" borderId="0" xfId="0"/>
    <xf numFmtId="9" fontId="0" fillId="0" borderId="0" xfId="0" applyNumberFormat="1"/>
    <xf numFmtId="165" fontId="0" fillId="0" borderId="0" xfId="1" applyNumberFormat="1" applyFont="1"/>
    <xf numFmtId="0" fontId="0" fillId="0" borderId="0" xfId="0" applyAlignment="1">
      <alignment wrapText="1"/>
    </xf>
    <xf numFmtId="1" fontId="0" fillId="0" borderId="0" xfId="0" applyNumberFormat="1"/>
    <xf numFmtId="0" fontId="1" fillId="0" borderId="0" xfId="2"/>
    <xf numFmtId="0" fontId="0" fillId="0" borderId="0" xfId="0" quotePrefix="1"/>
    <xf numFmtId="0" fontId="0" fillId="0" borderId="0" xfId="0" applyBorder="1" applyAlignment="1">
      <alignment wrapText="1"/>
    </xf>
    <xf numFmtId="0" fontId="8" fillId="0" borderId="0" xfId="3"/>
    <xf numFmtId="0" fontId="0" fillId="7" borderId="7" xfId="0" applyFill="1" applyBorder="1" applyAlignment="1">
      <alignment wrapText="1"/>
    </xf>
    <xf numFmtId="0" fontId="0" fillId="0" borderId="0" xfId="0" applyAlignment="1"/>
    <xf numFmtId="0" fontId="73" fillId="0" borderId="0" xfId="0" applyFont="1"/>
    <xf numFmtId="0" fontId="2" fillId="0" borderId="0" xfId="0" applyFont="1" applyAlignment="1"/>
    <xf numFmtId="0" fontId="0" fillId="0" borderId="0" xfId="0" applyFont="1"/>
    <xf numFmtId="0" fontId="76" fillId="0" borderId="0" xfId="0" applyFont="1" applyAlignment="1">
      <alignment vertical="center"/>
    </xf>
    <xf numFmtId="0" fontId="2" fillId="2" borderId="8" xfId="0" applyFont="1" applyFill="1" applyBorder="1" applyAlignment="1">
      <alignment wrapText="1"/>
    </xf>
    <xf numFmtId="0" fontId="2" fillId="2" borderId="10" xfId="0" applyFont="1" applyFill="1" applyBorder="1" applyAlignment="1">
      <alignment wrapText="1"/>
    </xf>
    <xf numFmtId="0" fontId="0" fillId="0" borderId="0" xfId="0" applyAlignment="1">
      <alignment horizontal="center" vertical="center" wrapText="1"/>
    </xf>
    <xf numFmtId="0" fontId="3" fillId="0" borderId="0" xfId="0" applyFont="1"/>
    <xf numFmtId="0" fontId="0" fillId="68" borderId="0" xfId="0" applyFill="1"/>
    <xf numFmtId="172" fontId="0" fillId="0" borderId="0" xfId="0" applyNumberFormat="1"/>
    <xf numFmtId="166" fontId="0" fillId="0" borderId="0" xfId="289" applyNumberFormat="1" applyFont="1" applyAlignment="1">
      <alignment horizontal="right"/>
    </xf>
    <xf numFmtId="9" fontId="0" fillId="0" borderId="0" xfId="289" applyFont="1"/>
    <xf numFmtId="0" fontId="5" fillId="0" borderId="0" xfId="0" applyFont="1" applyFill="1"/>
    <xf numFmtId="0" fontId="5" fillId="0" borderId="0" xfId="0" applyFont="1" applyAlignment="1"/>
    <xf numFmtId="9" fontId="0" fillId="0" borderId="0" xfId="0" quotePrefix="1" applyNumberFormat="1"/>
    <xf numFmtId="0" fontId="2" fillId="0" borderId="0" xfId="0" applyNumberFormat="1" applyFont="1"/>
    <xf numFmtId="172" fontId="2" fillId="0" borderId="0" xfId="289" applyNumberFormat="1" applyFont="1"/>
    <xf numFmtId="166" fontId="2" fillId="0" borderId="0" xfId="289" applyNumberFormat="1" applyFont="1"/>
    <xf numFmtId="0" fontId="2" fillId="2" borderId="39" xfId="0" applyFont="1" applyFill="1" applyBorder="1" applyAlignment="1">
      <alignment wrapText="1"/>
    </xf>
    <xf numFmtId="0" fontId="0" fillId="0" borderId="0" xfId="0" applyAlignment="1">
      <alignment horizontal="right"/>
    </xf>
    <xf numFmtId="2" fontId="0" fillId="0" borderId="0" xfId="0" applyNumberFormat="1"/>
    <xf numFmtId="0" fontId="102" fillId="101" borderId="0" xfId="0" applyFont="1" applyFill="1" applyAlignment="1">
      <alignment vertical="center"/>
    </xf>
    <xf numFmtId="0" fontId="103" fillId="101" borderId="0" xfId="0" applyFont="1" applyFill="1"/>
    <xf numFmtId="0" fontId="102" fillId="7" borderId="0" xfId="0" applyFont="1" applyFill="1" applyAlignment="1">
      <alignment vertical="center"/>
    </xf>
    <xf numFmtId="0" fontId="103" fillId="7" borderId="0" xfId="0" applyFont="1" applyFill="1"/>
    <xf numFmtId="0" fontId="102" fillId="67" borderId="0" xfId="0" applyFont="1" applyFill="1" applyAlignment="1">
      <alignment vertical="center"/>
    </xf>
    <xf numFmtId="0" fontId="103" fillId="67" borderId="0" xfId="0" applyFont="1" applyFill="1"/>
    <xf numFmtId="0" fontId="102" fillId="102" borderId="0" xfId="0" applyFont="1" applyFill="1" applyAlignment="1">
      <alignment wrapText="1"/>
    </xf>
    <xf numFmtId="0" fontId="103" fillId="102" borderId="0" xfId="0" applyFont="1" applyFill="1" applyAlignment="1">
      <alignment wrapText="1"/>
    </xf>
    <xf numFmtId="0" fontId="2" fillId="2" borderId="10" xfId="0" applyFont="1" applyFill="1" applyBorder="1"/>
    <xf numFmtId="0" fontId="0" fillId="7" borderId="7" xfId="0" applyFill="1" applyBorder="1"/>
    <xf numFmtId="0" fontId="0" fillId="7" borderId="54" xfId="0" applyFill="1" applyBorder="1" applyAlignment="1">
      <alignment wrapText="1"/>
    </xf>
    <xf numFmtId="0" fontId="0" fillId="0" borderId="0" xfId="0" applyBorder="1" applyAlignment="1">
      <alignment horizontal="left" vertical="center" wrapText="1"/>
    </xf>
    <xf numFmtId="0" fontId="0" fillId="0" borderId="0" xfId="0" applyBorder="1"/>
    <xf numFmtId="0" fontId="80" fillId="0" borderId="0" xfId="0" applyFont="1" applyBorder="1"/>
    <xf numFmtId="0" fontId="0" fillId="7" borderId="44" xfId="0" applyFill="1" applyBorder="1" applyAlignment="1">
      <alignment wrapText="1"/>
    </xf>
    <xf numFmtId="0" fontId="0" fillId="7" borderId="44" xfId="0" applyFill="1" applyBorder="1"/>
    <xf numFmtId="0" fontId="0" fillId="67" borderId="54" xfId="0" applyFill="1" applyBorder="1" applyAlignment="1">
      <alignment wrapText="1"/>
    </xf>
    <xf numFmtId="0" fontId="5" fillId="7" borderId="44" xfId="0" applyFont="1" applyFill="1" applyBorder="1" applyAlignment="1">
      <alignment wrapText="1"/>
    </xf>
    <xf numFmtId="0" fontId="77" fillId="7" borderId="44" xfId="0" applyFont="1" applyFill="1" applyBorder="1" applyAlignment="1">
      <alignment wrapText="1"/>
    </xf>
    <xf numFmtId="9" fontId="0" fillId="7" borderId="44" xfId="0" applyNumberFormat="1" applyFill="1" applyBorder="1" applyAlignment="1">
      <alignment horizontal="right" wrapText="1"/>
    </xf>
    <xf numFmtId="0" fontId="0" fillId="7" borderId="44" xfId="0" applyFill="1" applyBorder="1" applyAlignment="1">
      <alignment horizontal="right" wrapText="1"/>
    </xf>
    <xf numFmtId="0" fontId="0" fillId="7" borderId="43" xfId="0" applyFill="1" applyBorder="1" applyAlignment="1">
      <alignment horizontal="right" wrapText="1"/>
    </xf>
    <xf numFmtId="0" fontId="5" fillId="7" borderId="7" xfId="0" applyFont="1" applyFill="1" applyBorder="1" applyAlignment="1">
      <alignment wrapText="1"/>
    </xf>
    <xf numFmtId="0" fontId="77" fillId="7" borderId="7" xfId="0" applyFont="1" applyFill="1" applyBorder="1" applyAlignment="1">
      <alignment wrapText="1"/>
    </xf>
    <xf numFmtId="9" fontId="0" fillId="7" borderId="7" xfId="0" applyNumberFormat="1" applyFill="1" applyBorder="1" applyAlignment="1">
      <alignment horizontal="right" wrapText="1"/>
    </xf>
    <xf numFmtId="0" fontId="0" fillId="7" borderId="52" xfId="0" applyFill="1" applyBorder="1" applyAlignment="1">
      <alignment horizontal="right" wrapText="1"/>
    </xf>
    <xf numFmtId="0" fontId="0" fillId="7" borderId="7" xfId="0" applyFill="1" applyBorder="1" applyAlignment="1">
      <alignment horizontal="right" wrapText="1"/>
    </xf>
    <xf numFmtId="9" fontId="5" fillId="7" borderId="7" xfId="0" applyNumberFormat="1" applyFont="1" applyFill="1" applyBorder="1" applyAlignment="1">
      <alignment horizontal="right" wrapText="1"/>
    </xf>
    <xf numFmtId="0" fontId="0" fillId="0" borderId="0" xfId="0" applyFill="1" applyBorder="1" applyAlignment="1">
      <alignment horizontal="right" wrapText="1"/>
    </xf>
    <xf numFmtId="2" fontId="0" fillId="7" borderId="7" xfId="0" applyNumberFormat="1" applyFill="1" applyBorder="1" applyAlignment="1">
      <alignment horizontal="right" wrapText="1"/>
    </xf>
    <xf numFmtId="172" fontId="0" fillId="7" borderId="7" xfId="0" applyNumberFormat="1" applyFill="1" applyBorder="1" applyAlignment="1">
      <alignment horizontal="right" wrapText="1"/>
    </xf>
    <xf numFmtId="0" fontId="0" fillId="7" borderId="7" xfId="0" applyFont="1" applyFill="1" applyBorder="1"/>
    <xf numFmtId="0" fontId="0" fillId="7" borderId="7" xfId="0" applyFont="1" applyFill="1" applyBorder="1" applyAlignment="1">
      <alignment wrapText="1"/>
    </xf>
    <xf numFmtId="0" fontId="0" fillId="7" borderId="7" xfId="0" applyFont="1" applyFill="1" applyBorder="1" applyAlignment="1">
      <alignment horizontal="right" wrapText="1"/>
    </xf>
    <xf numFmtId="0" fontId="5" fillId="67" borderId="7" xfId="0" applyFont="1" applyFill="1" applyBorder="1" applyAlignment="1">
      <alignment wrapText="1"/>
    </xf>
    <xf numFmtId="0" fontId="77" fillId="67" borderId="7" xfId="0" applyFont="1" applyFill="1" applyBorder="1" applyAlignment="1">
      <alignment wrapText="1"/>
    </xf>
    <xf numFmtId="0" fontId="0" fillId="67" borderId="7" xfId="0" applyFill="1" applyBorder="1"/>
    <xf numFmtId="0" fontId="0" fillId="67" borderId="7" xfId="0" applyFill="1" applyBorder="1" applyAlignment="1">
      <alignment wrapText="1"/>
    </xf>
    <xf numFmtId="9" fontId="0" fillId="67" borderId="7" xfId="0" applyNumberFormat="1" applyFill="1" applyBorder="1" applyAlignment="1">
      <alignment horizontal="right" wrapText="1"/>
    </xf>
    <xf numFmtId="0" fontId="0" fillId="67" borderId="7" xfId="0" applyFill="1" applyBorder="1" applyAlignment="1">
      <alignment horizontal="right" wrapText="1"/>
    </xf>
    <xf numFmtId="0" fontId="0" fillId="67" borderId="52" xfId="0" applyFill="1" applyBorder="1" applyAlignment="1">
      <alignment horizontal="right" wrapText="1"/>
    </xf>
    <xf numFmtId="0" fontId="0" fillId="0" borderId="0" xfId="0" applyBorder="1" applyAlignment="1">
      <alignment horizontal="left" vertical="center" indent="5"/>
    </xf>
    <xf numFmtId="0" fontId="108" fillId="103" borderId="51" xfId="0" applyFont="1" applyFill="1" applyBorder="1" applyAlignment="1">
      <alignment horizontal="left" vertical="center"/>
    </xf>
    <xf numFmtId="0" fontId="108" fillId="7" borderId="7" xfId="0" quotePrefix="1" applyFont="1" applyFill="1" applyBorder="1" applyAlignment="1">
      <alignment wrapText="1"/>
    </xf>
    <xf numFmtId="0" fontId="107" fillId="103" borderId="7" xfId="3" quotePrefix="1" applyFont="1" applyFill="1" applyBorder="1" applyAlignment="1">
      <alignment wrapText="1"/>
    </xf>
    <xf numFmtId="0" fontId="108" fillId="103" borderId="7" xfId="0" applyFont="1" applyFill="1" applyBorder="1" applyAlignment="1">
      <alignment wrapText="1"/>
    </xf>
    <xf numFmtId="0" fontId="106" fillId="103" borderId="7" xfId="0" applyFont="1" applyFill="1" applyBorder="1" applyAlignment="1"/>
    <xf numFmtId="0" fontId="106" fillId="103" borderId="7" xfId="0" applyFont="1" applyFill="1" applyBorder="1" applyAlignment="1">
      <alignment horizontal="right"/>
    </xf>
    <xf numFmtId="0" fontId="108" fillId="103" borderId="7" xfId="0" applyFont="1" applyFill="1" applyBorder="1" applyAlignment="1">
      <alignment horizontal="right"/>
    </xf>
    <xf numFmtId="0" fontId="106" fillId="103" borderId="52" xfId="0" applyFont="1" applyFill="1" applyBorder="1" applyAlignment="1">
      <alignment horizontal="right"/>
    </xf>
    <xf numFmtId="0" fontId="108" fillId="0" borderId="0" xfId="0" applyFont="1" applyFill="1" applyBorder="1" applyAlignment="1">
      <alignment wrapText="1"/>
    </xf>
    <xf numFmtId="0" fontId="106" fillId="103" borderId="7" xfId="0" applyFont="1" applyFill="1" applyBorder="1" applyAlignment="1">
      <alignment wrapText="1"/>
    </xf>
    <xf numFmtId="0" fontId="107" fillId="7" borderId="7" xfId="3" quotePrefix="1" applyFont="1" applyFill="1" applyBorder="1"/>
    <xf numFmtId="0" fontId="109" fillId="7" borderId="7" xfId="0" quotePrefix="1" applyFont="1" applyFill="1" applyBorder="1" applyAlignment="1">
      <alignment wrapText="1"/>
    </xf>
    <xf numFmtId="0" fontId="5" fillId="7" borderId="51" xfId="0" applyFont="1" applyFill="1" applyBorder="1" applyAlignment="1">
      <alignment horizontal="left"/>
    </xf>
    <xf numFmtId="0" fontId="108" fillId="7" borderId="7" xfId="0" applyFont="1" applyFill="1" applyBorder="1" applyAlignment="1">
      <alignment wrapText="1"/>
    </xf>
    <xf numFmtId="0" fontId="108" fillId="103" borderId="7" xfId="0" applyFont="1" applyFill="1" applyBorder="1" applyAlignment="1">
      <alignment horizontal="right" wrapText="1"/>
    </xf>
    <xf numFmtId="0" fontId="108" fillId="103" borderId="52" xfId="0" applyFont="1" applyFill="1" applyBorder="1" applyAlignment="1">
      <alignment horizontal="right" wrapText="1"/>
    </xf>
    <xf numFmtId="0" fontId="5" fillId="0" borderId="0" xfId="0" applyFont="1" applyBorder="1" applyAlignment="1">
      <alignment wrapText="1"/>
    </xf>
    <xf numFmtId="0" fontId="108" fillId="103" borderId="7" xfId="0" applyFont="1" applyFill="1" applyBorder="1" applyAlignment="1"/>
    <xf numFmtId="0" fontId="108" fillId="103" borderId="52" xfId="0" applyFont="1" applyFill="1" applyBorder="1" applyAlignment="1">
      <alignment horizontal="right"/>
    </xf>
    <xf numFmtId="0" fontId="110" fillId="103" borderId="7" xfId="0" quotePrefix="1" applyFont="1" applyFill="1" applyBorder="1" applyAlignment="1">
      <alignment wrapText="1"/>
    </xf>
    <xf numFmtId="0" fontId="5" fillId="7" borderId="7" xfId="0" applyFont="1" applyFill="1" applyBorder="1"/>
    <xf numFmtId="0" fontId="106" fillId="103" borderId="7" xfId="0" applyFont="1" applyFill="1" applyBorder="1" applyAlignment="1">
      <alignment horizontal="right" wrapText="1"/>
    </xf>
    <xf numFmtId="0" fontId="106" fillId="103" borderId="52" xfId="0" applyFont="1" applyFill="1" applyBorder="1" applyAlignment="1">
      <alignment horizontal="right" wrapText="1"/>
    </xf>
    <xf numFmtId="0" fontId="5" fillId="0" borderId="0" xfId="0" applyFont="1" applyFill="1" applyBorder="1" applyAlignment="1">
      <alignment wrapText="1"/>
    </xf>
    <xf numFmtId="0" fontId="108" fillId="103" borderId="56" xfId="0" applyFont="1" applyFill="1" applyBorder="1" applyAlignment="1">
      <alignment horizontal="left" vertical="center"/>
    </xf>
    <xf numFmtId="0" fontId="108" fillId="7" borderId="57" xfId="0" quotePrefix="1" applyFont="1" applyFill="1" applyBorder="1" applyAlignment="1">
      <alignment wrapText="1"/>
    </xf>
    <xf numFmtId="0" fontId="107" fillId="103" borderId="57" xfId="3" quotePrefix="1" applyFont="1" applyFill="1" applyBorder="1" applyAlignment="1">
      <alignment wrapText="1"/>
    </xf>
    <xf numFmtId="0" fontId="106" fillId="103" borderId="57" xfId="0" applyFont="1" applyFill="1" applyBorder="1" applyAlignment="1">
      <alignment wrapText="1"/>
    </xf>
    <xf numFmtId="0" fontId="106" fillId="103" borderId="57" xfId="0" applyFont="1" applyFill="1" applyBorder="1" applyAlignment="1"/>
    <xf numFmtId="0" fontId="106" fillId="103" borderId="57" xfId="0" applyFont="1" applyFill="1" applyBorder="1" applyAlignment="1">
      <alignment horizontal="right"/>
    </xf>
    <xf numFmtId="0" fontId="106" fillId="103" borderId="58" xfId="0" applyFont="1" applyFill="1" applyBorder="1" applyAlignment="1">
      <alignment horizontal="right"/>
    </xf>
    <xf numFmtId="0" fontId="0" fillId="0" borderId="0" xfId="0" applyAlignment="1">
      <alignment horizontal="left" vertical="center" indent="5"/>
    </xf>
    <xf numFmtId="9" fontId="0" fillId="0" borderId="0" xfId="0" applyNumberFormat="1" applyBorder="1"/>
    <xf numFmtId="0" fontId="77" fillId="7" borderId="7" xfId="0" quotePrefix="1" applyFont="1" applyFill="1" applyBorder="1" applyAlignment="1">
      <alignment wrapText="1"/>
    </xf>
    <xf numFmtId="0" fontId="5" fillId="7" borderId="7" xfId="0" quotePrefix="1" applyFont="1" applyFill="1" applyBorder="1" applyAlignment="1">
      <alignment wrapText="1"/>
    </xf>
    <xf numFmtId="0" fontId="0" fillId="7" borderId="7" xfId="0" quotePrefix="1" applyFill="1" applyBorder="1" applyAlignment="1">
      <alignment wrapText="1"/>
    </xf>
    <xf numFmtId="0" fontId="5" fillId="7" borderId="51" xfId="0" applyFont="1" applyFill="1" applyBorder="1" applyAlignment="1">
      <alignment horizontal="left" vertical="center" indent="5"/>
    </xf>
    <xf numFmtId="0" fontId="107" fillId="7" borderId="0" xfId="3" applyFont="1" applyFill="1" applyBorder="1" applyAlignment="1">
      <alignment wrapText="1"/>
    </xf>
    <xf numFmtId="0" fontId="0" fillId="67" borderId="7" xfId="0" quotePrefix="1" applyFill="1" applyBorder="1" applyAlignment="1">
      <alignment wrapText="1"/>
    </xf>
    <xf numFmtId="0" fontId="5" fillId="67" borderId="7" xfId="0" applyFont="1" applyFill="1" applyBorder="1"/>
    <xf numFmtId="0" fontId="0" fillId="67" borderId="54" xfId="0" quotePrefix="1" applyFill="1" applyBorder="1" applyAlignment="1">
      <alignment wrapText="1"/>
    </xf>
    <xf numFmtId="0" fontId="107" fillId="67" borderId="54" xfId="3" quotePrefix="1" applyFont="1" applyFill="1" applyBorder="1" applyAlignment="1">
      <alignment wrapText="1"/>
    </xf>
    <xf numFmtId="0" fontId="5" fillId="67" borderId="54" xfId="0" applyFont="1" applyFill="1" applyBorder="1"/>
    <xf numFmtId="0" fontId="0" fillId="67" borderId="57" xfId="0" quotePrefix="1" applyFill="1" applyBorder="1" applyAlignment="1">
      <alignment wrapText="1"/>
    </xf>
    <xf numFmtId="0" fontId="107" fillId="67" borderId="57" xfId="3" quotePrefix="1" applyFont="1" applyFill="1" applyBorder="1" applyAlignment="1">
      <alignment wrapText="1"/>
    </xf>
    <xf numFmtId="0" fontId="5" fillId="67" borderId="57" xfId="0" applyFont="1" applyFill="1" applyBorder="1"/>
    <xf numFmtId="0" fontId="0" fillId="67" borderId="57" xfId="0" applyFill="1" applyBorder="1" applyAlignment="1">
      <alignment wrapText="1"/>
    </xf>
    <xf numFmtId="0" fontId="0" fillId="101" borderId="0" xfId="0" applyFill="1" applyBorder="1" applyAlignment="1">
      <alignment wrapText="1"/>
    </xf>
    <xf numFmtId="0" fontId="0" fillId="101" borderId="0" xfId="0" applyFill="1" applyBorder="1" applyAlignment="1">
      <alignment horizontal="right" wrapText="1"/>
    </xf>
    <xf numFmtId="0" fontId="0" fillId="101" borderId="5" xfId="0" applyFill="1" applyBorder="1" applyAlignment="1">
      <alignment horizontal="right" wrapText="1"/>
    </xf>
    <xf numFmtId="0" fontId="77" fillId="7" borderId="44" xfId="0" quotePrefix="1" applyFont="1" applyFill="1" applyBorder="1" applyAlignment="1">
      <alignment wrapText="1"/>
    </xf>
    <xf numFmtId="0" fontId="5" fillId="7" borderId="52" xfId="0" applyFont="1" applyFill="1" applyBorder="1" applyAlignment="1">
      <alignment horizontal="right" vertical="center" wrapText="1"/>
    </xf>
    <xf numFmtId="0" fontId="0" fillId="7" borderId="52" xfId="0" applyFill="1" applyBorder="1" applyAlignment="1">
      <alignment horizontal="right" vertical="center" wrapText="1"/>
    </xf>
    <xf numFmtId="0" fontId="5" fillId="0" borderId="0" xfId="0" applyFont="1" applyFill="1" applyBorder="1" applyAlignment="1">
      <alignment horizontal="left" vertical="center" wrapText="1"/>
    </xf>
    <xf numFmtId="0" fontId="0" fillId="102" borderId="61" xfId="0" applyFill="1" applyBorder="1" applyAlignment="1">
      <alignment vertical="center" wrapText="1"/>
    </xf>
    <xf numFmtId="0" fontId="77" fillId="102" borderId="61" xfId="0" applyFont="1" applyFill="1" applyBorder="1" applyAlignment="1">
      <alignment vertical="center"/>
    </xf>
    <xf numFmtId="0" fontId="0" fillId="102" borderId="61" xfId="0" applyFont="1" applyFill="1" applyBorder="1" applyAlignment="1">
      <alignment vertical="center"/>
    </xf>
    <xf numFmtId="9" fontId="0" fillId="102" borderId="61" xfId="0" applyNumberFormat="1" applyFill="1" applyBorder="1" applyAlignment="1">
      <alignment horizontal="right" vertical="center" wrapText="1"/>
    </xf>
    <xf numFmtId="0" fontId="0" fillId="102" borderId="61" xfId="0" applyFill="1" applyBorder="1" applyAlignment="1">
      <alignment horizontal="right" vertical="center" wrapText="1"/>
    </xf>
    <xf numFmtId="0" fontId="0" fillId="67" borderId="61" xfId="0" applyFill="1" applyBorder="1" applyAlignment="1">
      <alignment wrapText="1"/>
    </xf>
    <xf numFmtId="0" fontId="0" fillId="7" borderId="61" xfId="0" applyFill="1" applyBorder="1"/>
    <xf numFmtId="0" fontId="3" fillId="7" borderId="7" xfId="0" applyFont="1" applyFill="1" applyBorder="1" applyAlignment="1">
      <alignment wrapText="1"/>
    </xf>
    <xf numFmtId="0" fontId="8" fillId="7" borderId="7" xfId="3" applyFill="1" applyBorder="1" applyAlignment="1">
      <alignment wrapText="1"/>
    </xf>
    <xf numFmtId="0" fontId="73" fillId="7" borderId="7" xfId="0" applyFont="1" applyFill="1" applyBorder="1" applyAlignment="1">
      <alignment horizontal="right" wrapText="1"/>
    </xf>
    <xf numFmtId="0" fontId="73" fillId="7" borderId="52" xfId="0" applyFont="1" applyFill="1" applyBorder="1" applyAlignment="1">
      <alignment horizontal="right" wrapText="1"/>
    </xf>
    <xf numFmtId="9" fontId="5" fillId="7" borderId="7" xfId="0" quotePrefix="1" applyNumberFormat="1" applyFont="1" applyFill="1" applyBorder="1" applyAlignment="1">
      <alignment horizontal="right" wrapText="1"/>
    </xf>
    <xf numFmtId="0" fontId="5" fillId="7" borderId="7" xfId="0" applyFont="1" applyFill="1" applyBorder="1" applyAlignment="1">
      <alignment horizontal="right" wrapText="1"/>
    </xf>
    <xf numFmtId="0" fontId="5" fillId="7" borderId="54" xfId="0" applyFont="1" applyFill="1" applyBorder="1" applyAlignment="1">
      <alignment wrapText="1"/>
    </xf>
    <xf numFmtId="0" fontId="5" fillId="7" borderId="54" xfId="0" applyFont="1" applyFill="1" applyBorder="1"/>
    <xf numFmtId="165" fontId="0" fillId="7" borderId="54" xfId="1" applyNumberFormat="1" applyFont="1" applyFill="1" applyBorder="1" applyAlignment="1">
      <alignment horizontal="right" wrapText="1"/>
    </xf>
    <xf numFmtId="0" fontId="0" fillId="7" borderId="54" xfId="0" applyFill="1" applyBorder="1" applyAlignment="1">
      <alignment horizontal="right" wrapText="1"/>
    </xf>
    <xf numFmtId="0" fontId="0" fillId="7" borderId="55" xfId="0" applyFill="1" applyBorder="1" applyAlignment="1">
      <alignment horizontal="right" wrapText="1"/>
    </xf>
    <xf numFmtId="0" fontId="0" fillId="0" borderId="0" xfId="0" applyFill="1" applyBorder="1" applyAlignment="1">
      <alignment horizontal="left" vertical="center" indent="5"/>
    </xf>
    <xf numFmtId="0" fontId="0" fillId="0" borderId="0" xfId="0" applyFill="1" applyBorder="1" applyAlignment="1">
      <alignment wrapText="1"/>
    </xf>
    <xf numFmtId="0" fontId="5" fillId="0" borderId="0" xfId="0" applyFont="1" applyFill="1" applyBorder="1"/>
    <xf numFmtId="0" fontId="8" fillId="7" borderId="44" xfId="3" applyFill="1" applyBorder="1" applyAlignment="1">
      <alignment wrapText="1"/>
    </xf>
    <xf numFmtId="0" fontId="5" fillId="7" borderId="44" xfId="0" applyFont="1" applyFill="1" applyBorder="1"/>
    <xf numFmtId="0" fontId="5" fillId="7" borderId="52" xfId="0" applyFont="1" applyFill="1" applyBorder="1" applyAlignment="1">
      <alignment horizontal="right" wrapText="1"/>
    </xf>
    <xf numFmtId="166" fontId="0" fillId="7" borderId="7" xfId="0" applyNumberFormat="1" applyFill="1" applyBorder="1" applyAlignment="1">
      <alignment horizontal="right" wrapText="1"/>
    </xf>
    <xf numFmtId="0" fontId="8" fillId="67" borderId="7" xfId="3" applyFill="1" applyBorder="1" applyAlignment="1">
      <alignment wrapText="1"/>
    </xf>
    <xf numFmtId="0" fontId="5" fillId="67" borderId="61" xfId="0" applyFont="1" applyFill="1" applyBorder="1"/>
    <xf numFmtId="0" fontId="0" fillId="67" borderId="57" xfId="0" applyFill="1" applyBorder="1" applyAlignment="1">
      <alignment horizontal="right" wrapText="1"/>
    </xf>
    <xf numFmtId="0" fontId="0" fillId="67" borderId="58" xfId="0" applyFill="1" applyBorder="1" applyAlignment="1">
      <alignment horizontal="right" wrapText="1"/>
    </xf>
    <xf numFmtId="0" fontId="5" fillId="7" borderId="44" xfId="0" quotePrefix="1" applyFont="1" applyFill="1" applyBorder="1" applyAlignment="1">
      <alignment wrapText="1"/>
    </xf>
    <xf numFmtId="0" fontId="0" fillId="7" borderId="44" xfId="0" applyFont="1" applyFill="1" applyBorder="1"/>
    <xf numFmtId="10" fontId="0" fillId="7" borderId="7" xfId="0" applyNumberFormat="1" applyFill="1" applyBorder="1" applyAlignment="1">
      <alignment horizontal="right" wrapText="1"/>
    </xf>
    <xf numFmtId="0" fontId="77" fillId="67" borderId="7" xfId="0" quotePrefix="1" applyFont="1" applyFill="1" applyBorder="1" applyAlignment="1">
      <alignment wrapText="1"/>
    </xf>
    <xf numFmtId="0" fontId="5" fillId="102" borderId="7" xfId="0" quotePrefix="1" applyFont="1" applyFill="1" applyBorder="1" applyAlignment="1">
      <alignment wrapText="1"/>
    </xf>
    <xf numFmtId="0" fontId="77" fillId="102" borderId="7" xfId="0" quotePrefix="1" applyFont="1" applyFill="1" applyBorder="1" applyAlignment="1">
      <alignment wrapText="1"/>
    </xf>
    <xf numFmtId="0" fontId="5" fillId="102" borderId="7" xfId="0" applyFont="1" applyFill="1" applyBorder="1"/>
    <xf numFmtId="0" fontId="0" fillId="102" borderId="7" xfId="0" applyFill="1" applyBorder="1" applyAlignment="1">
      <alignment wrapText="1"/>
    </xf>
    <xf numFmtId="0" fontId="0" fillId="102" borderId="7" xfId="0" applyFill="1" applyBorder="1" applyAlignment="1">
      <alignment horizontal="right" wrapText="1"/>
    </xf>
    <xf numFmtId="0" fontId="0" fillId="102" borderId="52" xfId="0" applyFill="1" applyBorder="1" applyAlignment="1">
      <alignment horizontal="right" wrapText="1"/>
    </xf>
    <xf numFmtId="0" fontId="0" fillId="67" borderId="61" xfId="0" quotePrefix="1" applyFill="1" applyBorder="1" applyAlignment="1">
      <alignment wrapText="1"/>
    </xf>
    <xf numFmtId="0" fontId="77" fillId="67" borderId="61" xfId="0" quotePrefix="1" applyFont="1" applyFill="1" applyBorder="1" applyAlignment="1">
      <alignment wrapText="1"/>
    </xf>
    <xf numFmtId="0" fontId="0" fillId="67" borderId="61" xfId="0" applyFill="1" applyBorder="1" applyAlignment="1">
      <alignment horizontal="right" wrapText="1"/>
    </xf>
    <xf numFmtId="0" fontId="0" fillId="67" borderId="63" xfId="0" applyFill="1" applyBorder="1" applyAlignment="1">
      <alignment horizontal="right" wrapText="1"/>
    </xf>
    <xf numFmtId="0" fontId="0" fillId="0" borderId="0" xfId="0" quotePrefix="1" applyFill="1" applyBorder="1" applyAlignment="1">
      <alignment wrapText="1"/>
    </xf>
    <xf numFmtId="0" fontId="77" fillId="0" borderId="0" xfId="0" quotePrefix="1" applyFont="1" applyFill="1" applyBorder="1" applyAlignment="1">
      <alignment wrapText="1"/>
    </xf>
    <xf numFmtId="0" fontId="0" fillId="7" borderId="0" xfId="0" applyFill="1" applyBorder="1" applyAlignment="1">
      <alignment horizontal="right" wrapText="1"/>
    </xf>
    <xf numFmtId="0" fontId="106" fillId="103" borderId="0" xfId="0" applyFont="1" applyFill="1" applyBorder="1" applyAlignment="1">
      <alignment horizontal="right"/>
    </xf>
    <xf numFmtId="0" fontId="108" fillId="103" borderId="0" xfId="0" applyFont="1" applyFill="1" applyBorder="1" applyAlignment="1">
      <alignment horizontal="right" wrapText="1"/>
    </xf>
    <xf numFmtId="0" fontId="108" fillId="103" borderId="0" xfId="0" applyFont="1" applyFill="1" applyBorder="1" applyAlignment="1">
      <alignment horizontal="right"/>
    </xf>
    <xf numFmtId="0" fontId="5" fillId="7" borderId="0" xfId="0" applyFont="1" applyFill="1" applyBorder="1" applyAlignment="1">
      <alignment horizontal="right" wrapText="1"/>
    </xf>
    <xf numFmtId="0" fontId="0" fillId="7" borderId="61" xfId="0" applyFill="1" applyBorder="1" applyAlignment="1">
      <alignment wrapText="1"/>
    </xf>
    <xf numFmtId="0" fontId="0" fillId="102" borderId="52" xfId="0" applyFill="1" applyBorder="1" applyAlignment="1">
      <alignment horizontal="right" vertical="center" wrapText="1"/>
    </xf>
    <xf numFmtId="0" fontId="0" fillId="102" borderId="63" xfId="0" applyFill="1" applyBorder="1" applyAlignment="1">
      <alignment horizontal="right" vertical="center" wrapText="1"/>
    </xf>
    <xf numFmtId="0" fontId="4" fillId="0" borderId="0" xfId="136"/>
    <xf numFmtId="0" fontId="4" fillId="0" borderId="0" xfId="136" applyFont="1"/>
    <xf numFmtId="0" fontId="41" fillId="0" borderId="0" xfId="136" applyFont="1"/>
    <xf numFmtId="172" fontId="4" fillId="0" borderId="0" xfId="136" applyNumberFormat="1"/>
    <xf numFmtId="2" fontId="4" fillId="0" borderId="0" xfId="136" applyNumberFormat="1" applyFont="1"/>
    <xf numFmtId="0" fontId="4" fillId="0" borderId="1" xfId="136" applyBorder="1"/>
    <xf numFmtId="0" fontId="4" fillId="0" borderId="2" xfId="136" applyBorder="1"/>
    <xf numFmtId="0" fontId="4" fillId="0" borderId="3" xfId="136" applyBorder="1"/>
    <xf numFmtId="2" fontId="5" fillId="0" borderId="0" xfId="136" applyNumberFormat="1" applyFont="1"/>
    <xf numFmtId="1" fontId="73" fillId="0" borderId="64" xfId="136" applyNumberFormat="1" applyFont="1" applyBorder="1"/>
    <xf numFmtId="0" fontId="4" fillId="0" borderId="65" xfId="136" applyBorder="1"/>
    <xf numFmtId="164" fontId="73" fillId="0" borderId="65" xfId="136" applyNumberFormat="1" applyFont="1" applyBorder="1"/>
    <xf numFmtId="0" fontId="4" fillId="0" borderId="66" xfId="136" applyBorder="1"/>
    <xf numFmtId="2" fontId="4" fillId="0" borderId="0" xfId="136" applyNumberFormat="1"/>
    <xf numFmtId="9" fontId="5" fillId="0" borderId="0" xfId="136" applyNumberFormat="1" applyFont="1"/>
    <xf numFmtId="0" fontId="44" fillId="0" borderId="0" xfId="117" applyAlignment="1" applyProtection="1"/>
    <xf numFmtId="0" fontId="2" fillId="0" borderId="0" xfId="136" applyFont="1"/>
    <xf numFmtId="172" fontId="4" fillId="0" borderId="0" xfId="136" applyNumberFormat="1" applyFont="1"/>
    <xf numFmtId="187" fontId="4" fillId="0" borderId="0" xfId="327" applyNumberFormat="1" applyFont="1"/>
    <xf numFmtId="0" fontId="4" fillId="0" borderId="4" xfId="136" applyBorder="1"/>
    <xf numFmtId="0" fontId="4" fillId="0" borderId="0" xfId="136" applyBorder="1"/>
    <xf numFmtId="0" fontId="4" fillId="0" borderId="5" xfId="136" applyBorder="1"/>
    <xf numFmtId="172" fontId="4" fillId="0" borderId="4" xfId="136" applyNumberFormat="1" applyBorder="1"/>
    <xf numFmtId="1" fontId="4" fillId="0" borderId="0" xfId="136" applyNumberFormat="1" applyBorder="1"/>
    <xf numFmtId="0" fontId="4" fillId="0" borderId="0" xfId="136" applyFont="1" applyBorder="1"/>
    <xf numFmtId="2" fontId="4" fillId="0" borderId="0" xfId="136" applyNumberFormat="1" applyBorder="1"/>
    <xf numFmtId="0" fontId="4" fillId="0" borderId="5" xfId="136" applyFont="1" applyBorder="1"/>
    <xf numFmtId="0" fontId="4" fillId="0" borderId="4" xfId="136" applyFont="1" applyBorder="1"/>
    <xf numFmtId="0" fontId="113" fillId="0" borderId="4" xfId="136" applyFont="1" applyBorder="1"/>
    <xf numFmtId="0" fontId="41" fillId="0" borderId="4" xfId="136" applyFont="1" applyBorder="1"/>
    <xf numFmtId="43" fontId="0" fillId="0" borderId="4" xfId="327" applyNumberFormat="1" applyFont="1" applyBorder="1"/>
    <xf numFmtId="0" fontId="4" fillId="0" borderId="64" xfId="136" applyBorder="1"/>
    <xf numFmtId="0" fontId="4" fillId="0" borderId="40" xfId="136" applyBorder="1"/>
    <xf numFmtId="0" fontId="4" fillId="0" borderId="41" xfId="136" applyBorder="1"/>
    <xf numFmtId="1" fontId="4" fillId="0" borderId="41" xfId="136" applyNumberFormat="1" applyBorder="1"/>
    <xf numFmtId="0" fontId="4" fillId="0" borderId="38" xfId="136" applyBorder="1"/>
    <xf numFmtId="0" fontId="4" fillId="0" borderId="10" xfId="136" applyBorder="1"/>
    <xf numFmtId="0" fontId="41" fillId="0" borderId="10" xfId="136" applyFont="1" applyBorder="1"/>
    <xf numFmtId="0" fontId="4" fillId="0" borderId="39" xfId="136" applyBorder="1"/>
    <xf numFmtId="9" fontId="0" fillId="0" borderId="0" xfId="206" applyFont="1"/>
    <xf numFmtId="164" fontId="0" fillId="0" borderId="0" xfId="1" applyNumberFormat="1" applyFont="1"/>
    <xf numFmtId="0" fontId="77" fillId="7" borderId="69" xfId="0" quotePrefix="1" applyFont="1" applyFill="1" applyBorder="1" applyAlignment="1">
      <alignment wrapText="1"/>
    </xf>
    <xf numFmtId="0" fontId="5" fillId="7" borderId="69" xfId="0" applyFont="1" applyFill="1" applyBorder="1"/>
    <xf numFmtId="0" fontId="0" fillId="7" borderId="69" xfId="0" applyFill="1" applyBorder="1" applyAlignment="1">
      <alignment wrapText="1"/>
    </xf>
    <xf numFmtId="0" fontId="0" fillId="7" borderId="69" xfId="0" applyFont="1" applyFill="1" applyBorder="1" applyAlignment="1">
      <alignment horizontal="right" wrapText="1"/>
    </xf>
    <xf numFmtId="0" fontId="0" fillId="7" borderId="69" xfId="0" applyFill="1" applyBorder="1" applyAlignment="1">
      <alignment horizontal="right" wrapText="1"/>
    </xf>
    <xf numFmtId="0" fontId="5" fillId="7" borderId="69" xfId="0" quotePrefix="1" applyFont="1" applyFill="1" applyBorder="1" applyAlignment="1">
      <alignment wrapText="1"/>
    </xf>
    <xf numFmtId="0" fontId="107" fillId="7" borderId="69" xfId="3" quotePrefix="1" applyFont="1" applyFill="1" applyBorder="1" applyAlignment="1">
      <alignment wrapText="1"/>
    </xf>
    <xf numFmtId="0" fontId="0" fillId="7" borderId="69" xfId="0" quotePrefix="1" applyFill="1" applyBorder="1" applyAlignment="1">
      <alignment wrapText="1"/>
    </xf>
    <xf numFmtId="9" fontId="5" fillId="7" borderId="69" xfId="0" applyNumberFormat="1" applyFont="1" applyFill="1" applyBorder="1" applyAlignment="1">
      <alignment horizontal="right" wrapText="1"/>
    </xf>
    <xf numFmtId="0" fontId="0" fillId="67" borderId="69" xfId="0" quotePrefix="1" applyFill="1" applyBorder="1" applyAlignment="1">
      <alignment wrapText="1"/>
    </xf>
    <xf numFmtId="0" fontId="107" fillId="67" borderId="69" xfId="3" quotePrefix="1" applyFont="1" applyFill="1" applyBorder="1" applyAlignment="1">
      <alignment wrapText="1"/>
    </xf>
    <xf numFmtId="0" fontId="5" fillId="67" borderId="69" xfId="0" applyFont="1" applyFill="1" applyBorder="1"/>
    <xf numFmtId="0" fontId="0" fillId="67" borderId="69" xfId="0" applyFill="1" applyBorder="1" applyAlignment="1">
      <alignment wrapText="1"/>
    </xf>
    <xf numFmtId="0" fontId="115" fillId="0" borderId="0" xfId="0" applyFont="1" applyFill="1" applyBorder="1" applyAlignment="1">
      <alignment horizontal="right"/>
    </xf>
    <xf numFmtId="0" fontId="4" fillId="0" borderId="0" xfId="136" applyAlignment="1">
      <alignment horizontal="right"/>
    </xf>
    <xf numFmtId="0" fontId="0" fillId="7" borderId="69" xfId="0" applyFill="1" applyBorder="1" applyAlignment="1">
      <alignment vertical="center" wrapText="1"/>
    </xf>
    <xf numFmtId="0" fontId="2" fillId="2" borderId="72" xfId="0" applyFont="1" applyFill="1" applyBorder="1" applyAlignment="1">
      <alignment wrapText="1"/>
    </xf>
    <xf numFmtId="0" fontId="2" fillId="2" borderId="72" xfId="0" applyFont="1" applyFill="1" applyBorder="1"/>
    <xf numFmtId="0" fontId="0" fillId="7" borderId="69" xfId="0" applyFont="1" applyFill="1" applyBorder="1" applyAlignment="1">
      <alignment vertical="center"/>
    </xf>
    <xf numFmtId="0" fontId="0" fillId="7" borderId="69" xfId="0" applyFill="1" applyBorder="1" applyAlignment="1">
      <alignment horizontal="right" vertical="center" wrapText="1"/>
    </xf>
    <xf numFmtId="0" fontId="77" fillId="7" borderId="69" xfId="0" applyFont="1" applyFill="1" applyBorder="1" applyAlignment="1">
      <alignment vertical="center"/>
    </xf>
    <xf numFmtId="0" fontId="5" fillId="7" borderId="69" xfId="0" applyFont="1" applyFill="1" applyBorder="1" applyAlignment="1">
      <alignment vertical="center" wrapText="1"/>
    </xf>
    <xf numFmtId="0" fontId="5" fillId="7" borderId="69" xfId="0" applyFont="1" applyFill="1" applyBorder="1" applyAlignment="1">
      <alignment vertical="center"/>
    </xf>
    <xf numFmtId="166" fontId="5" fillId="7" borderId="69" xfId="0" applyNumberFormat="1" applyFont="1" applyFill="1" applyBorder="1" applyAlignment="1">
      <alignment horizontal="right" vertical="center" wrapText="1"/>
    </xf>
    <xf numFmtId="0" fontId="5" fillId="7" borderId="69" xfId="0" applyFont="1" applyFill="1" applyBorder="1" applyAlignment="1">
      <alignment horizontal="right" vertical="center" wrapText="1"/>
    </xf>
    <xf numFmtId="0" fontId="77" fillId="7" borderId="69" xfId="0" applyFont="1" applyFill="1" applyBorder="1" applyAlignment="1">
      <alignment vertical="center" wrapText="1"/>
    </xf>
    <xf numFmtId="9" fontId="0" fillId="7" borderId="69" xfId="0" applyNumberFormat="1" applyFill="1" applyBorder="1" applyAlignment="1">
      <alignment horizontal="right" vertical="center" wrapText="1"/>
    </xf>
    <xf numFmtId="165" fontId="0" fillId="7" borderId="69" xfId="1" applyNumberFormat="1" applyFont="1" applyFill="1" applyBorder="1" applyAlignment="1">
      <alignment horizontal="right" vertical="center" wrapText="1"/>
    </xf>
    <xf numFmtId="0" fontId="3" fillId="7" borderId="69" xfId="0" applyFont="1" applyFill="1" applyBorder="1" applyAlignment="1">
      <alignment vertical="center" wrapText="1"/>
    </xf>
    <xf numFmtId="166" fontId="0" fillId="7" borderId="69" xfId="0" applyNumberFormat="1" applyFill="1" applyBorder="1" applyAlignment="1">
      <alignment horizontal="right" vertical="center" wrapText="1"/>
    </xf>
    <xf numFmtId="0" fontId="0" fillId="102" borderId="69" xfId="0" applyFill="1" applyBorder="1" applyAlignment="1">
      <alignment vertical="center" wrapText="1"/>
    </xf>
    <xf numFmtId="0" fontId="77" fillId="102" borderId="69" xfId="0" applyFont="1" applyFill="1" applyBorder="1" applyAlignment="1">
      <alignment vertical="center"/>
    </xf>
    <xf numFmtId="0" fontId="0" fillId="102" borderId="69" xfId="0" applyFont="1" applyFill="1" applyBorder="1" applyAlignment="1">
      <alignment vertical="center"/>
    </xf>
    <xf numFmtId="0" fontId="0" fillId="102" borderId="69" xfId="0" applyFill="1" applyBorder="1" applyAlignment="1">
      <alignment horizontal="right" vertical="center" wrapText="1"/>
    </xf>
    <xf numFmtId="0" fontId="5" fillId="0" borderId="0" xfId="0" applyFont="1" applyFill="1" applyAlignment="1">
      <alignment vertical="center" wrapText="1"/>
    </xf>
    <xf numFmtId="9" fontId="4" fillId="0" borderId="0" xfId="289" applyFont="1"/>
    <xf numFmtId="0" fontId="41" fillId="0" borderId="0" xfId="136" applyFont="1" applyBorder="1"/>
    <xf numFmtId="189" fontId="0" fillId="0" borderId="0" xfId="327" applyNumberFormat="1" applyFont="1" applyBorder="1"/>
    <xf numFmtId="188" fontId="0" fillId="0" borderId="0" xfId="327" applyNumberFormat="1" applyFont="1" applyBorder="1"/>
    <xf numFmtId="43" fontId="0" fillId="0" borderId="0" xfId="327" applyNumberFormat="1" applyFont="1" applyBorder="1"/>
    <xf numFmtId="9" fontId="4" fillId="0" borderId="0" xfId="289" applyNumberFormat="1" applyFont="1"/>
    <xf numFmtId="0" fontId="113" fillId="0" borderId="0" xfId="136" applyFont="1"/>
    <xf numFmtId="1" fontId="4" fillId="0" borderId="0" xfId="136" applyNumberFormat="1"/>
    <xf numFmtId="0" fontId="0" fillId="67" borderId="75" xfId="0" applyFill="1" applyBorder="1" applyAlignment="1">
      <alignment wrapText="1"/>
    </xf>
    <xf numFmtId="0" fontId="0" fillId="67" borderId="75" xfId="0" applyFill="1" applyBorder="1"/>
    <xf numFmtId="0" fontId="0" fillId="67" borderId="69" xfId="0" applyFill="1" applyBorder="1"/>
    <xf numFmtId="0" fontId="0" fillId="102" borderId="7" xfId="0" applyFill="1" applyBorder="1"/>
    <xf numFmtId="0" fontId="0" fillId="67" borderId="54" xfId="0" applyFill="1" applyBorder="1" applyAlignment="1">
      <alignment horizontal="right" wrapText="1"/>
    </xf>
    <xf numFmtId="0" fontId="0" fillId="67" borderId="55" xfId="0" applyFill="1" applyBorder="1" applyAlignment="1">
      <alignment horizontal="right" wrapText="1"/>
    </xf>
    <xf numFmtId="9" fontId="0" fillId="7" borderId="7" xfId="289" applyFont="1" applyFill="1" applyBorder="1" applyAlignment="1">
      <alignment horizontal="right" wrapText="1"/>
    </xf>
    <xf numFmtId="17" fontId="0" fillId="0" borderId="0" xfId="0" quotePrefix="1" applyNumberFormat="1"/>
    <xf numFmtId="0" fontId="8" fillId="0" borderId="0" xfId="3" applyAlignment="1">
      <alignment wrapText="1"/>
    </xf>
    <xf numFmtId="0" fontId="5" fillId="0" borderId="0" xfId="3" applyFont="1" applyAlignment="1">
      <alignment wrapText="1"/>
    </xf>
    <xf numFmtId="10" fontId="0" fillId="7" borderId="69" xfId="0" applyNumberFormat="1" applyFont="1" applyFill="1" applyBorder="1" applyAlignment="1">
      <alignment horizontal="right" wrapText="1"/>
    </xf>
    <xf numFmtId="0" fontId="0" fillId="0" borderId="64" xfId="0" applyFill="1" applyBorder="1" applyAlignment="1">
      <alignment horizontal="left" vertical="center" wrapText="1"/>
    </xf>
    <xf numFmtId="0" fontId="0" fillId="0" borderId="65" xfId="0" applyFill="1" applyBorder="1" applyAlignment="1">
      <alignment wrapText="1"/>
    </xf>
    <xf numFmtId="0" fontId="77" fillId="0" borderId="65" xfId="3" applyFont="1" applyFill="1" applyBorder="1"/>
    <xf numFmtId="0" fontId="0" fillId="0" borderId="65" xfId="0" applyFill="1" applyBorder="1"/>
    <xf numFmtId="0" fontId="5" fillId="7" borderId="69" xfId="0" applyFont="1" applyFill="1" applyBorder="1"/>
    <xf numFmtId="0" fontId="0" fillId="0" borderId="0" xfId="0"/>
    <xf numFmtId="0" fontId="0" fillId="0" borderId="0" xfId="0" applyFill="1"/>
    <xf numFmtId="0" fontId="0" fillId="0" borderId="0" xfId="0" applyFill="1" applyBorder="1"/>
    <xf numFmtId="0" fontId="2" fillId="2" borderId="10" xfId="0" applyFont="1" applyFill="1" applyBorder="1" applyAlignment="1">
      <alignment wrapText="1"/>
    </xf>
    <xf numFmtId="0" fontId="2" fillId="2" borderId="39" xfId="0" applyFont="1" applyFill="1" applyBorder="1" applyAlignment="1">
      <alignment wrapText="1"/>
    </xf>
    <xf numFmtId="0" fontId="105" fillId="2" borderId="38" xfId="0" applyFont="1" applyFill="1" applyBorder="1"/>
    <xf numFmtId="0" fontId="2" fillId="2" borderId="10" xfId="0" applyFont="1" applyFill="1" applyBorder="1"/>
    <xf numFmtId="0" fontId="0" fillId="0" borderId="0" xfId="0" applyAlignment="1">
      <alignment wrapText="1"/>
    </xf>
    <xf numFmtId="0" fontId="0" fillId="7" borderId="69" xfId="0" applyFill="1" applyBorder="1" applyAlignment="1">
      <alignment wrapText="1"/>
    </xf>
    <xf numFmtId="0" fontId="0" fillId="0" borderId="0" xfId="0"/>
    <xf numFmtId="0" fontId="4" fillId="0" borderId="0" xfId="136"/>
    <xf numFmtId="0" fontId="4" fillId="0" borderId="4" xfId="136" applyBorder="1"/>
    <xf numFmtId="0" fontId="4" fillId="0" borderId="0" xfId="136" applyBorder="1"/>
    <xf numFmtId="0" fontId="4" fillId="0" borderId="5" xfId="136" applyBorder="1"/>
    <xf numFmtId="172" fontId="4" fillId="0" borderId="4" xfId="136" applyNumberFormat="1" applyBorder="1"/>
    <xf numFmtId="1" fontId="4" fillId="0" borderId="0" xfId="136" applyNumberFormat="1" applyBorder="1"/>
    <xf numFmtId="0" fontId="4" fillId="0" borderId="0" xfId="136" applyFont="1" applyBorder="1"/>
    <xf numFmtId="2" fontId="4" fillId="0" borderId="0" xfId="136" applyNumberFormat="1" applyBorder="1"/>
    <xf numFmtId="0" fontId="4" fillId="0" borderId="5" xfId="136" applyFont="1" applyBorder="1"/>
    <xf numFmtId="0" fontId="4" fillId="0" borderId="4" xfId="136" applyFont="1" applyBorder="1"/>
    <xf numFmtId="0" fontId="113" fillId="0" borderId="4" xfId="136" applyFont="1" applyBorder="1"/>
    <xf numFmtId="0" fontId="41" fillId="0" borderId="4" xfId="136" applyFont="1" applyBorder="1"/>
    <xf numFmtId="0" fontId="4" fillId="0" borderId="64" xfId="136" applyBorder="1"/>
    <xf numFmtId="0" fontId="4" fillId="0" borderId="41" xfId="136" applyBorder="1"/>
    <xf numFmtId="172" fontId="4" fillId="0" borderId="0" xfId="136" applyNumberFormat="1" applyBorder="1"/>
    <xf numFmtId="0" fontId="115" fillId="0" borderId="0" xfId="0" applyFont="1" applyFill="1" applyBorder="1" applyAlignment="1">
      <alignment horizontal="right"/>
    </xf>
    <xf numFmtId="9" fontId="4" fillId="0" borderId="0" xfId="289" applyFont="1"/>
    <xf numFmtId="0" fontId="113" fillId="0" borderId="0" xfId="136" applyFont="1"/>
    <xf numFmtId="0" fontId="119" fillId="0" borderId="0" xfId="0" applyFont="1"/>
    <xf numFmtId="172" fontId="113" fillId="0" borderId="4" xfId="136" applyNumberFormat="1" applyFont="1" applyBorder="1"/>
    <xf numFmtId="172" fontId="41" fillId="0" borderId="4" xfId="136" applyNumberFormat="1" applyFont="1" applyBorder="1"/>
    <xf numFmtId="0" fontId="108" fillId="7" borderId="69" xfId="0" quotePrefix="1" applyFont="1" applyFill="1" applyBorder="1" applyAlignment="1">
      <alignment wrapText="1"/>
    </xf>
    <xf numFmtId="0" fontId="110" fillId="103" borderId="69" xfId="0" quotePrefix="1" applyFont="1" applyFill="1" applyBorder="1" applyAlignment="1">
      <alignment wrapText="1"/>
    </xf>
    <xf numFmtId="0" fontId="108" fillId="103" borderId="69" xfId="0" applyFont="1" applyFill="1" applyBorder="1" applyAlignment="1">
      <alignment wrapText="1"/>
    </xf>
    <xf numFmtId="0" fontId="108" fillId="103" borderId="69" xfId="0" applyFont="1" applyFill="1" applyBorder="1" applyAlignment="1"/>
    <xf numFmtId="0" fontId="108" fillId="103" borderId="69" xfId="0" applyFont="1" applyFill="1" applyBorder="1" applyAlignment="1">
      <alignment horizontal="right"/>
    </xf>
    <xf numFmtId="0" fontId="0" fillId="0" borderId="37" xfId="0" applyFont="1" applyBorder="1"/>
    <xf numFmtId="0" fontId="0" fillId="0" borderId="37" xfId="0" applyFont="1" applyBorder="1" applyAlignment="1"/>
    <xf numFmtId="0" fontId="0" fillId="104" borderId="37" xfId="0" applyFont="1" applyFill="1" applyBorder="1"/>
    <xf numFmtId="0" fontId="0" fillId="104" borderId="37" xfId="0" applyFont="1" applyFill="1" applyBorder="1" applyAlignment="1"/>
    <xf numFmtId="0" fontId="5" fillId="6" borderId="0" xfId="0" quotePrefix="1" applyFont="1" applyFill="1" applyAlignment="1"/>
    <xf numFmtId="0" fontId="120" fillId="2" borderId="71" xfId="3" applyFont="1" applyFill="1" applyBorder="1"/>
    <xf numFmtId="0" fontId="77" fillId="0" borderId="0" xfId="0" applyFont="1" applyAlignment="1">
      <alignment wrapText="1"/>
    </xf>
    <xf numFmtId="0" fontId="109" fillId="103" borderId="7" xfId="0" applyFont="1" applyFill="1" applyBorder="1" applyAlignment="1"/>
    <xf numFmtId="0" fontId="109" fillId="103" borderId="7" xfId="0" applyFont="1" applyFill="1" applyBorder="1" applyAlignment="1">
      <alignment horizontal="right"/>
    </xf>
    <xf numFmtId="0" fontId="109" fillId="103" borderId="52" xfId="0" applyFont="1" applyFill="1" applyBorder="1" applyAlignment="1">
      <alignment horizontal="right"/>
    </xf>
    <xf numFmtId="0" fontId="5" fillId="7" borderId="0" xfId="0" quotePrefix="1" applyFont="1" applyFill="1" applyBorder="1" applyAlignment="1">
      <alignment horizontal="right"/>
    </xf>
    <xf numFmtId="0" fontId="3" fillId="7" borderId="0" xfId="0" applyFont="1" applyFill="1" applyBorder="1"/>
    <xf numFmtId="0" fontId="5" fillId="7" borderId="69" xfId="0" applyFont="1" applyFill="1" applyBorder="1" applyAlignment="1">
      <alignment horizontal="right" wrapText="1"/>
    </xf>
    <xf numFmtId="0" fontId="0" fillId="67" borderId="69" xfId="0" applyFont="1" applyFill="1" applyBorder="1" applyAlignment="1">
      <alignment horizontal="right" wrapText="1"/>
    </xf>
    <xf numFmtId="0" fontId="0" fillId="67" borderId="69" xfId="0" applyFill="1" applyBorder="1" applyAlignment="1">
      <alignment horizontal="right" wrapText="1"/>
    </xf>
    <xf numFmtId="0" fontId="0" fillId="67" borderId="54" xfId="0" applyFont="1" applyFill="1" applyBorder="1" applyAlignment="1">
      <alignment horizontal="right" wrapText="1"/>
    </xf>
    <xf numFmtId="0" fontId="0" fillId="67" borderId="57" xfId="0" applyFont="1" applyFill="1" applyBorder="1" applyAlignment="1">
      <alignment horizontal="right" wrapText="1"/>
    </xf>
    <xf numFmtId="0" fontId="5" fillId="7" borderId="69" xfId="0" applyFont="1" applyFill="1" applyBorder="1" applyAlignment="1">
      <alignment wrapText="1"/>
    </xf>
    <xf numFmtId="0" fontId="0" fillId="0" borderId="0" xfId="0"/>
    <xf numFmtId="0" fontId="105" fillId="2" borderId="38" xfId="0" applyFont="1" applyFill="1" applyBorder="1"/>
    <xf numFmtId="0" fontId="0" fillId="101" borderId="151" xfId="0" applyFill="1" applyBorder="1" applyAlignment="1">
      <alignment wrapText="1"/>
    </xf>
    <xf numFmtId="0" fontId="77" fillId="101" borderId="151" xfId="3" applyFont="1" applyFill="1" applyBorder="1"/>
    <xf numFmtId="0" fontId="0" fillId="101" borderId="44" xfId="0" applyFill="1" applyBorder="1"/>
    <xf numFmtId="0" fontId="0" fillId="7" borderId="54" xfId="0" applyFill="1" applyBorder="1" applyAlignment="1">
      <alignment wrapText="1"/>
    </xf>
    <xf numFmtId="0" fontId="77" fillId="7" borderId="54" xfId="3" applyFont="1" applyFill="1" applyBorder="1"/>
    <xf numFmtId="0" fontId="0" fillId="7" borderId="54" xfId="0" applyFill="1" applyBorder="1"/>
    <xf numFmtId="0" fontId="0" fillId="67" borderId="54" xfId="0" applyFill="1" applyBorder="1"/>
    <xf numFmtId="0" fontId="0" fillId="7" borderId="41" xfId="0" applyFill="1" applyBorder="1"/>
    <xf numFmtId="0" fontId="0" fillId="101" borderId="69" xfId="0" applyFill="1" applyBorder="1" applyAlignment="1">
      <alignment wrapText="1"/>
    </xf>
    <xf numFmtId="0" fontId="0" fillId="7" borderId="69" xfId="0" applyFill="1" applyBorder="1" applyAlignment="1">
      <alignment wrapText="1"/>
    </xf>
    <xf numFmtId="0" fontId="0" fillId="101" borderId="41" xfId="0" applyFill="1" applyBorder="1"/>
    <xf numFmtId="0" fontId="77" fillId="7" borderId="69" xfId="3" applyFont="1" applyFill="1" applyBorder="1"/>
    <xf numFmtId="0" fontId="0" fillId="7" borderId="69" xfId="0" applyFill="1" applyBorder="1"/>
    <xf numFmtId="0" fontId="0" fillId="7" borderId="4" xfId="0" applyFill="1" applyBorder="1"/>
    <xf numFmtId="0" fontId="0" fillId="67" borderId="69" xfId="0" applyFill="1" applyBorder="1"/>
    <xf numFmtId="0" fontId="0" fillId="67" borderId="158" xfId="0" applyFill="1" applyBorder="1" applyAlignment="1">
      <alignment horizontal="left" vertical="top" wrapText="1"/>
    </xf>
    <xf numFmtId="0" fontId="77" fillId="67" borderId="159" xfId="3" applyFont="1" applyFill="1" applyBorder="1" applyAlignment="1">
      <alignment vertical="top" wrapText="1"/>
    </xf>
    <xf numFmtId="0" fontId="77" fillId="101" borderId="69" xfId="3" applyFont="1" applyFill="1" applyBorder="1"/>
    <xf numFmtId="0" fontId="0" fillId="101" borderId="153" xfId="0" applyFill="1" applyBorder="1"/>
    <xf numFmtId="0" fontId="0" fillId="0" borderId="0" xfId="0"/>
    <xf numFmtId="0" fontId="0" fillId="7" borderId="69" xfId="0" applyFill="1" applyBorder="1" applyAlignment="1">
      <alignment wrapText="1"/>
    </xf>
    <xf numFmtId="0" fontId="2" fillId="2" borderId="10" xfId="0" applyFont="1" applyFill="1" applyBorder="1" applyAlignment="1">
      <alignment wrapText="1"/>
    </xf>
    <xf numFmtId="0" fontId="2" fillId="2" borderId="39" xfId="0" applyFont="1" applyFill="1" applyBorder="1" applyAlignment="1">
      <alignment wrapText="1"/>
    </xf>
    <xf numFmtId="0" fontId="105" fillId="2" borderId="38" xfId="0" applyFont="1" applyFill="1" applyBorder="1"/>
    <xf numFmtId="0" fontId="2" fillId="2" borderId="10" xfId="0" applyFont="1" applyFill="1" applyBorder="1"/>
    <xf numFmtId="0" fontId="0" fillId="101" borderId="151" xfId="0" applyFill="1" applyBorder="1" applyAlignment="1">
      <alignment wrapText="1"/>
    </xf>
    <xf numFmtId="0" fontId="77" fillId="101" borderId="151" xfId="3" applyFont="1" applyFill="1" applyBorder="1"/>
    <xf numFmtId="0" fontId="0" fillId="101" borderId="151" xfId="0" applyFill="1" applyBorder="1"/>
    <xf numFmtId="0" fontId="77" fillId="7" borderId="69" xfId="3" applyFont="1" applyFill="1" applyBorder="1"/>
    <xf numFmtId="0" fontId="0" fillId="7" borderId="69" xfId="0" applyFill="1" applyBorder="1"/>
    <xf numFmtId="0" fontId="0" fillId="7" borderId="44" xfId="0" applyFill="1" applyBorder="1" applyAlignment="1">
      <alignment wrapText="1"/>
    </xf>
    <xf numFmtId="0" fontId="77" fillId="7" borderId="44" xfId="3" applyFont="1" applyFill="1" applyBorder="1"/>
    <xf numFmtId="0" fontId="0" fillId="7" borderId="44" xfId="0" applyFill="1" applyBorder="1"/>
    <xf numFmtId="0" fontId="0" fillId="7" borderId="69" xfId="0" applyFill="1" applyBorder="1" applyAlignment="1"/>
    <xf numFmtId="0" fontId="0" fillId="67" borderId="54" xfId="0" applyFill="1" applyBorder="1" applyAlignment="1">
      <alignment wrapText="1"/>
    </xf>
    <xf numFmtId="0" fontId="77" fillId="67" borderId="54" xfId="3" applyFont="1" applyFill="1" applyBorder="1"/>
    <xf numFmtId="0" fontId="0" fillId="67" borderId="54" xfId="0" applyFill="1" applyBorder="1"/>
    <xf numFmtId="0" fontId="0" fillId="67" borderId="54" xfId="0" applyFill="1" applyBorder="1" applyAlignment="1">
      <alignment horizontal="right"/>
    </xf>
    <xf numFmtId="0" fontId="0" fillId="7" borderId="61" xfId="0" applyFill="1" applyBorder="1"/>
    <xf numFmtId="0" fontId="77" fillId="7" borderId="61" xfId="3" applyFont="1" applyFill="1" applyBorder="1"/>
    <xf numFmtId="0" fontId="0" fillId="7" borderId="61" xfId="0" applyFill="1" applyBorder="1" applyAlignment="1">
      <alignment wrapText="1"/>
    </xf>
    <xf numFmtId="0" fontId="0" fillId="7" borderId="61" xfId="0" applyFill="1" applyBorder="1" applyAlignment="1">
      <alignment horizontal="right"/>
    </xf>
    <xf numFmtId="0" fontId="0" fillId="7" borderId="41" xfId="0" applyFill="1" applyBorder="1"/>
    <xf numFmtId="0" fontId="0" fillId="67" borderId="41" xfId="0" applyFill="1" applyBorder="1"/>
    <xf numFmtId="0" fontId="0" fillId="101" borderId="41" xfId="0" applyFill="1" applyBorder="1"/>
    <xf numFmtId="0" fontId="80" fillId="7" borderId="69" xfId="0" applyFont="1" applyFill="1" applyBorder="1"/>
    <xf numFmtId="0" fontId="77" fillId="7" borderId="0" xfId="3" applyFont="1" applyFill="1"/>
    <xf numFmtId="0" fontId="0" fillId="0" borderId="0" xfId="0"/>
    <xf numFmtId="0" fontId="5" fillId="0" borderId="0" xfId="0" applyFont="1"/>
    <xf numFmtId="0" fontId="0" fillId="7" borderId="69" xfId="0" applyFill="1" applyBorder="1" applyAlignment="1">
      <alignment wrapText="1"/>
    </xf>
    <xf numFmtId="0" fontId="2" fillId="2" borderId="10" xfId="0" applyFont="1" applyFill="1" applyBorder="1" applyAlignment="1">
      <alignment wrapText="1"/>
    </xf>
    <xf numFmtId="0" fontId="2" fillId="2" borderId="39" xfId="0" applyFont="1" applyFill="1" applyBorder="1" applyAlignment="1">
      <alignment wrapText="1"/>
    </xf>
    <xf numFmtId="0" fontId="105" fillId="2" borderId="38" xfId="0" applyFont="1" applyFill="1" applyBorder="1"/>
    <xf numFmtId="0" fontId="0" fillId="101" borderId="151" xfId="0" applyFill="1" applyBorder="1"/>
    <xf numFmtId="0" fontId="0" fillId="101" borderId="44" xfId="0" applyFill="1" applyBorder="1"/>
    <xf numFmtId="0" fontId="77" fillId="7" borderId="69" xfId="3" applyFont="1" applyFill="1" applyBorder="1"/>
    <xf numFmtId="0" fontId="0" fillId="7" borderId="69" xfId="0" applyFill="1" applyBorder="1"/>
    <xf numFmtId="0" fontId="77" fillId="7" borderId="54" xfId="3" applyFont="1" applyFill="1" applyBorder="1"/>
    <xf numFmtId="0" fontId="0" fillId="7" borderId="54" xfId="0" applyFill="1" applyBorder="1"/>
    <xf numFmtId="0" fontId="0" fillId="7" borderId="44" xfId="0" applyFill="1" applyBorder="1" applyAlignment="1">
      <alignment wrapText="1"/>
    </xf>
    <xf numFmtId="0" fontId="77" fillId="7" borderId="44" xfId="3" applyFont="1" applyFill="1" applyBorder="1"/>
    <xf numFmtId="0" fontId="0" fillId="67" borderId="54" xfId="0" applyFill="1" applyBorder="1" applyAlignment="1">
      <alignment wrapText="1"/>
    </xf>
    <xf numFmtId="0" fontId="77" fillId="67" borderId="54" xfId="3" applyFont="1" applyFill="1" applyBorder="1"/>
    <xf numFmtId="0" fontId="5" fillId="7" borderId="69" xfId="0" applyFont="1" applyFill="1" applyBorder="1"/>
    <xf numFmtId="0" fontId="5" fillId="67" borderId="69" xfId="0" applyFont="1" applyFill="1" applyBorder="1"/>
    <xf numFmtId="0" fontId="5" fillId="67" borderId="54" xfId="0" applyFont="1" applyFill="1" applyBorder="1"/>
    <xf numFmtId="0" fontId="0" fillId="101" borderId="69" xfId="0" applyFill="1" applyBorder="1"/>
    <xf numFmtId="0" fontId="0" fillId="7" borderId="0" xfId="0" applyFill="1" applyBorder="1"/>
    <xf numFmtId="0" fontId="0" fillId="7" borderId="41" xfId="0" applyFill="1" applyBorder="1"/>
    <xf numFmtId="0" fontId="5" fillId="7" borderId="41" xfId="0" applyFont="1" applyFill="1" applyBorder="1"/>
    <xf numFmtId="0" fontId="0" fillId="102" borderId="41" xfId="0" applyFill="1" applyBorder="1"/>
    <xf numFmtId="0" fontId="0" fillId="67" borderId="41" xfId="0" applyFill="1" applyBorder="1"/>
    <xf numFmtId="0" fontId="0" fillId="101" borderId="41" xfId="0" applyFill="1" applyBorder="1"/>
    <xf numFmtId="0" fontId="0" fillId="7" borderId="4" xfId="0" applyFill="1" applyBorder="1"/>
    <xf numFmtId="0" fontId="0" fillId="101" borderId="4" xfId="0" applyFill="1" applyBorder="1"/>
    <xf numFmtId="0" fontId="5" fillId="7" borderId="69" xfId="0" applyFont="1" applyFill="1" applyBorder="1" applyAlignment="1">
      <alignment horizontal="right"/>
    </xf>
    <xf numFmtId="0" fontId="77" fillId="7" borderId="69" xfId="0" applyFont="1" applyFill="1" applyBorder="1"/>
    <xf numFmtId="0" fontId="77" fillId="7" borderId="0" xfId="3" applyFont="1" applyFill="1"/>
    <xf numFmtId="0" fontId="5" fillId="7" borderId="148" xfId="0" applyFont="1" applyFill="1" applyBorder="1" applyAlignment="1">
      <alignment horizontal="right"/>
    </xf>
    <xf numFmtId="0" fontId="5" fillId="7" borderId="41" xfId="3" applyFont="1" applyFill="1" applyBorder="1"/>
    <xf numFmtId="0" fontId="0" fillId="7" borderId="172" xfId="0" applyFill="1" applyBorder="1"/>
    <xf numFmtId="0" fontId="0" fillId="102" borderId="69" xfId="0" applyFill="1" applyBorder="1"/>
    <xf numFmtId="0" fontId="77" fillId="102" borderId="69" xfId="3" applyFont="1" applyFill="1" applyBorder="1"/>
    <xf numFmtId="0" fontId="5" fillId="67" borderId="54" xfId="0" applyFont="1" applyFill="1" applyBorder="1" applyAlignment="1">
      <alignment horizontal="right"/>
    </xf>
    <xf numFmtId="0" fontId="5" fillId="67" borderId="41" xfId="0" applyFont="1" applyFill="1" applyBorder="1"/>
    <xf numFmtId="0" fontId="5" fillId="7" borderId="149" xfId="0" applyFont="1" applyFill="1" applyBorder="1" applyAlignment="1">
      <alignment horizontal="left" vertical="center" wrapText="1"/>
    </xf>
    <xf numFmtId="0" fontId="77" fillId="101" borderId="155" xfId="3" applyFont="1" applyFill="1" applyBorder="1"/>
    <xf numFmtId="0" fontId="77" fillId="101" borderId="68" xfId="3" applyFont="1" applyFill="1" applyBorder="1"/>
    <xf numFmtId="0" fontId="77" fillId="101" borderId="60" xfId="3" applyFont="1" applyFill="1" applyBorder="1"/>
    <xf numFmtId="0" fontId="0" fillId="101" borderId="156" xfId="0" applyFill="1" applyBorder="1"/>
    <xf numFmtId="0" fontId="0" fillId="101" borderId="157" xfId="0" applyFill="1" applyBorder="1"/>
    <xf numFmtId="0" fontId="0" fillId="101" borderId="59" xfId="0" applyFill="1" applyBorder="1"/>
    <xf numFmtId="0" fontId="0" fillId="101" borderId="153" xfId="0" applyFill="1" applyBorder="1" applyAlignment="1">
      <alignment horizontal="right"/>
    </xf>
    <xf numFmtId="0" fontId="0" fillId="7" borderId="54" xfId="0" applyFill="1" applyBorder="1" applyAlignment="1">
      <alignment horizontal="right"/>
    </xf>
    <xf numFmtId="0" fontId="0" fillId="0" borderId="0" xfId="0"/>
    <xf numFmtId="0" fontId="0" fillId="7" borderId="69" xfId="0" applyFill="1" applyBorder="1" applyAlignment="1">
      <alignment wrapText="1"/>
    </xf>
    <xf numFmtId="0" fontId="2" fillId="2" borderId="10" xfId="0" applyFont="1" applyFill="1" applyBorder="1" applyAlignment="1">
      <alignment wrapText="1"/>
    </xf>
    <xf numFmtId="0" fontId="2" fillId="2" borderId="39" xfId="0" applyFont="1" applyFill="1" applyBorder="1" applyAlignment="1">
      <alignment wrapText="1"/>
    </xf>
    <xf numFmtId="0" fontId="105" fillId="2" borderId="38" xfId="0" applyFont="1" applyFill="1" applyBorder="1"/>
    <xf numFmtId="0" fontId="2" fillId="2" borderId="10" xfId="0" applyFont="1" applyFill="1" applyBorder="1"/>
    <xf numFmtId="0" fontId="0" fillId="101" borderId="151" xfId="0" applyFill="1" applyBorder="1" applyAlignment="1">
      <alignment wrapText="1"/>
    </xf>
    <xf numFmtId="0" fontId="77" fillId="101" borderId="151" xfId="3" applyFont="1" applyFill="1" applyBorder="1"/>
    <xf numFmtId="0" fontId="77" fillId="7" borderId="69" xfId="3" applyFont="1" applyFill="1" applyBorder="1"/>
    <xf numFmtId="0" fontId="0" fillId="7" borderId="69" xfId="0" applyFill="1" applyBorder="1"/>
    <xf numFmtId="0" fontId="0" fillId="7" borderId="54" xfId="0" applyFill="1" applyBorder="1" applyAlignment="1">
      <alignment wrapText="1"/>
    </xf>
    <xf numFmtId="0" fontId="77" fillId="7" borderId="54" xfId="3" applyFont="1" applyFill="1" applyBorder="1"/>
    <xf numFmtId="0" fontId="0" fillId="7" borderId="54" xfId="0" applyFill="1" applyBorder="1"/>
    <xf numFmtId="0" fontId="0" fillId="7" borderId="44" xfId="0" applyFill="1" applyBorder="1" applyAlignment="1">
      <alignment wrapText="1"/>
    </xf>
    <xf numFmtId="0" fontId="77" fillId="7" borderId="44" xfId="3" applyFont="1" applyFill="1" applyBorder="1"/>
    <xf numFmtId="0" fontId="0" fillId="7" borderId="44" xfId="0" applyFill="1" applyBorder="1"/>
    <xf numFmtId="0" fontId="0" fillId="101" borderId="151" xfId="0" applyFill="1" applyBorder="1" applyAlignment="1"/>
    <xf numFmtId="0" fontId="0" fillId="7" borderId="44" xfId="0" applyFill="1" applyBorder="1" applyAlignment="1"/>
    <xf numFmtId="0" fontId="0" fillId="7" borderId="61" xfId="0" applyFill="1" applyBorder="1"/>
    <xf numFmtId="0" fontId="77" fillId="7" borderId="61" xfId="3" applyFont="1" applyFill="1" applyBorder="1"/>
    <xf numFmtId="0" fontId="0" fillId="7" borderId="61" xfId="0" applyFill="1" applyBorder="1" applyAlignment="1">
      <alignment wrapText="1"/>
    </xf>
    <xf numFmtId="0" fontId="0" fillId="7" borderId="41" xfId="0" applyFill="1" applyBorder="1"/>
    <xf numFmtId="0" fontId="0" fillId="101" borderId="41" xfId="0" applyFill="1" applyBorder="1"/>
    <xf numFmtId="0" fontId="80" fillId="7" borderId="69" xfId="0" applyFont="1" applyFill="1" applyBorder="1"/>
    <xf numFmtId="0" fontId="77" fillId="7" borderId="0" xfId="3" applyFont="1" applyFill="1"/>
    <xf numFmtId="0" fontId="77" fillId="7" borderId="69" xfId="3" applyFont="1" applyFill="1" applyBorder="1" applyAlignment="1">
      <alignment vertical="center" wrapText="1"/>
    </xf>
    <xf numFmtId="0" fontId="0" fillId="7" borderId="5" xfId="0" applyFill="1" applyBorder="1"/>
    <xf numFmtId="0" fontId="0" fillId="7" borderId="75" xfId="0" applyFill="1" applyBorder="1" applyAlignment="1">
      <alignment wrapText="1"/>
    </xf>
    <xf numFmtId="0" fontId="0" fillId="0" borderId="0" xfId="0"/>
    <xf numFmtId="0" fontId="0" fillId="7" borderId="69" xfId="0" applyFill="1" applyBorder="1" applyAlignment="1">
      <alignment wrapText="1"/>
    </xf>
    <xf numFmtId="0" fontId="2" fillId="2" borderId="10" xfId="0" applyFont="1" applyFill="1" applyBorder="1" applyAlignment="1">
      <alignment wrapText="1"/>
    </xf>
    <xf numFmtId="0" fontId="2" fillId="2" borderId="39" xfId="0" applyFont="1" applyFill="1" applyBorder="1" applyAlignment="1">
      <alignment wrapText="1"/>
    </xf>
    <xf numFmtId="0" fontId="105" fillId="2" borderId="38" xfId="0" applyFont="1" applyFill="1" applyBorder="1"/>
    <xf numFmtId="0" fontId="2" fillId="2" borderId="10" xfId="0" applyFont="1" applyFill="1" applyBorder="1"/>
    <xf numFmtId="0" fontId="0" fillId="101" borderId="151" xfId="0" applyFill="1" applyBorder="1" applyAlignment="1">
      <alignment wrapText="1"/>
    </xf>
    <xf numFmtId="0" fontId="77" fillId="101" borderId="151" xfId="3" applyFont="1" applyFill="1" applyBorder="1"/>
    <xf numFmtId="0" fontId="0" fillId="101" borderId="151" xfId="0" applyFill="1" applyBorder="1"/>
    <xf numFmtId="0" fontId="77" fillId="7" borderId="69" xfId="3" applyFont="1" applyFill="1" applyBorder="1"/>
    <xf numFmtId="0" fontId="0" fillId="7" borderId="69" xfId="0" applyFill="1" applyBorder="1"/>
    <xf numFmtId="0" fontId="0" fillId="7" borderId="44" xfId="0" applyFill="1" applyBorder="1" applyAlignment="1">
      <alignment wrapText="1"/>
    </xf>
    <xf numFmtId="0" fontId="77" fillId="7" borderId="44" xfId="3" applyFont="1" applyFill="1" applyBorder="1"/>
    <xf numFmtId="0" fontId="0" fillId="7" borderId="44" xfId="0" applyFill="1" applyBorder="1"/>
    <xf numFmtId="0" fontId="0" fillId="67" borderId="61" xfId="0" applyFill="1" applyBorder="1" applyAlignment="1">
      <alignment wrapText="1"/>
    </xf>
    <xf numFmtId="0" fontId="77" fillId="67" borderId="61" xfId="3" applyFont="1" applyFill="1" applyBorder="1"/>
    <xf numFmtId="0" fontId="0" fillId="67" borderId="61" xfId="0" applyFill="1" applyBorder="1"/>
    <xf numFmtId="0" fontId="0" fillId="7" borderId="0" xfId="0" applyFill="1"/>
    <xf numFmtId="0" fontId="77" fillId="7" borderId="0" xfId="3" applyFont="1" applyFill="1"/>
    <xf numFmtId="0" fontId="0" fillId="67" borderId="75" xfId="0" applyFill="1" applyBorder="1" applyAlignment="1">
      <alignment wrapText="1"/>
    </xf>
    <xf numFmtId="0" fontId="0" fillId="7" borderId="60" xfId="0" applyFill="1" applyBorder="1" applyAlignment="1">
      <alignment wrapText="1"/>
    </xf>
    <xf numFmtId="0" fontId="77" fillId="7" borderId="60" xfId="3" applyFont="1" applyFill="1" applyBorder="1" applyAlignment="1">
      <alignment vertical="top" wrapText="1"/>
    </xf>
    <xf numFmtId="0" fontId="0" fillId="0" borderId="0" xfId="0"/>
    <xf numFmtId="0" fontId="0" fillId="7" borderId="69" xfId="0" applyFill="1" applyBorder="1" applyAlignment="1">
      <alignment wrapText="1"/>
    </xf>
    <xf numFmtId="0" fontId="2" fillId="2" borderId="10" xfId="0" applyFont="1" applyFill="1" applyBorder="1" applyAlignment="1">
      <alignment wrapText="1"/>
    </xf>
    <xf numFmtId="0" fontId="2" fillId="2" borderId="39" xfId="0" applyFont="1" applyFill="1" applyBorder="1" applyAlignment="1">
      <alignment wrapText="1"/>
    </xf>
    <xf numFmtId="0" fontId="105" fillId="2" borderId="38" xfId="0" applyFont="1" applyFill="1" applyBorder="1"/>
    <xf numFmtId="0" fontId="2" fillId="2" borderId="10" xfId="0" applyFont="1" applyFill="1" applyBorder="1"/>
    <xf numFmtId="0" fontId="0" fillId="101" borderId="154" xfId="0" applyFill="1" applyBorder="1" applyAlignment="1">
      <alignment horizontal="left" vertical="center" wrapText="1"/>
    </xf>
    <xf numFmtId="0" fontId="0" fillId="101" borderId="151" xfId="0" applyFill="1" applyBorder="1" applyAlignment="1">
      <alignment wrapText="1"/>
    </xf>
    <xf numFmtId="0" fontId="77" fillId="101" borderId="151" xfId="3" applyFont="1" applyFill="1" applyBorder="1"/>
    <xf numFmtId="0" fontId="0" fillId="101" borderId="151" xfId="0" applyFill="1" applyBorder="1"/>
    <xf numFmtId="0" fontId="77" fillId="7" borderId="69" xfId="3" applyFont="1" applyFill="1" applyBorder="1"/>
    <xf numFmtId="0" fontId="0" fillId="7" borderId="69" xfId="0" applyFill="1" applyBorder="1"/>
    <xf numFmtId="0" fontId="0" fillId="7" borderId="54" xfId="0" applyFill="1" applyBorder="1" applyAlignment="1">
      <alignment wrapText="1"/>
    </xf>
    <xf numFmtId="0" fontId="77" fillId="7" borderId="54" xfId="3" applyFont="1" applyFill="1" applyBorder="1"/>
    <xf numFmtId="0" fontId="0" fillId="7" borderId="54" xfId="0" applyFill="1" applyBorder="1"/>
    <xf numFmtId="0" fontId="0" fillId="7" borderId="69" xfId="0" applyFill="1" applyBorder="1" applyAlignment="1"/>
    <xf numFmtId="0" fontId="0" fillId="67" borderId="69" xfId="0" applyFill="1" applyBorder="1"/>
    <xf numFmtId="0" fontId="0" fillId="67" borderId="69" xfId="0" applyFill="1" applyBorder="1" applyAlignment="1">
      <alignment wrapText="1"/>
    </xf>
    <xf numFmtId="0" fontId="77" fillId="67" borderId="69" xfId="3" applyFont="1" applyFill="1" applyBorder="1"/>
    <xf numFmtId="0" fontId="0" fillId="101" borderId="69" xfId="0" applyFill="1" applyBorder="1" applyAlignment="1">
      <alignment wrapText="1"/>
    </xf>
    <xf numFmtId="0" fontId="77" fillId="101" borderId="69" xfId="3" applyFont="1" applyFill="1" applyBorder="1"/>
    <xf numFmtId="0" fontId="0" fillId="101" borderId="69" xfId="0" applyFill="1" applyBorder="1"/>
    <xf numFmtId="0" fontId="0" fillId="101" borderId="69" xfId="0" applyFill="1" applyBorder="1" applyAlignment="1">
      <alignment horizontal="right"/>
    </xf>
    <xf numFmtId="0" fontId="0" fillId="7" borderId="69" xfId="0" applyFill="1" applyBorder="1" applyAlignment="1">
      <alignment horizontal="left" vertical="top" wrapText="1"/>
    </xf>
    <xf numFmtId="0" fontId="0" fillId="67" borderId="69" xfId="0" applyFill="1" applyBorder="1" applyAlignment="1">
      <alignment horizontal="left" vertical="top" wrapText="1"/>
    </xf>
    <xf numFmtId="0" fontId="0" fillId="67" borderId="61" xfId="0" applyFill="1" applyBorder="1" applyAlignment="1">
      <alignment wrapText="1"/>
    </xf>
    <xf numFmtId="0" fontId="77" fillId="67" borderId="61" xfId="3" applyFont="1" applyFill="1" applyBorder="1"/>
    <xf numFmtId="0" fontId="0" fillId="67" borderId="61" xfId="0" applyFill="1" applyBorder="1"/>
    <xf numFmtId="0" fontId="77" fillId="7" borderId="0" xfId="3" applyFont="1" applyFill="1"/>
    <xf numFmtId="0" fontId="2" fillId="2" borderId="10" xfId="0" applyFont="1" applyFill="1" applyBorder="1" applyAlignment="1">
      <alignment wrapText="1"/>
    </xf>
    <xf numFmtId="0" fontId="2" fillId="2" borderId="39" xfId="0" applyFont="1" applyFill="1" applyBorder="1" applyAlignment="1">
      <alignment wrapText="1"/>
    </xf>
    <xf numFmtId="0" fontId="105" fillId="2" borderId="38" xfId="0" applyFont="1" applyFill="1" applyBorder="1"/>
    <xf numFmtId="0" fontId="2" fillId="2" borderId="10" xfId="0" applyFont="1" applyFill="1" applyBorder="1"/>
    <xf numFmtId="0" fontId="77" fillId="101" borderId="44" xfId="3" applyFont="1" applyFill="1" applyBorder="1"/>
    <xf numFmtId="0" fontId="0" fillId="101" borderId="44" xfId="0" applyFill="1" applyBorder="1"/>
    <xf numFmtId="0" fontId="0" fillId="7" borderId="149" xfId="0" applyFill="1" applyBorder="1" applyAlignment="1">
      <alignment horizontal="left" vertical="center" wrapText="1"/>
    </xf>
    <xf numFmtId="0" fontId="77" fillId="7" borderId="69" xfId="3" applyFont="1" applyFill="1" applyBorder="1"/>
    <xf numFmtId="0" fontId="0" fillId="7" borderId="69" xfId="0" applyFill="1" applyBorder="1"/>
    <xf numFmtId="0" fontId="77" fillId="7" borderId="54" xfId="3" applyFont="1" applyFill="1" applyBorder="1"/>
    <xf numFmtId="0" fontId="0" fillId="7" borderId="54" xfId="0" applyFill="1" applyBorder="1"/>
    <xf numFmtId="0" fontId="0" fillId="0" borderId="0" xfId="0" applyBorder="1"/>
    <xf numFmtId="0" fontId="0" fillId="101" borderId="151" xfId="0" applyFill="1" applyBorder="1" applyAlignment="1">
      <alignment horizontal="right"/>
    </xf>
    <xf numFmtId="0" fontId="0" fillId="7" borderId="69" xfId="0" applyFill="1" applyBorder="1" applyAlignment="1">
      <alignment horizontal="right"/>
    </xf>
    <xf numFmtId="0" fontId="0" fillId="67" borderId="69" xfId="0" applyFill="1" applyBorder="1"/>
    <xf numFmtId="0" fontId="77" fillId="67" borderId="69" xfId="3" applyFont="1" applyFill="1" applyBorder="1"/>
    <xf numFmtId="0" fontId="0" fillId="67" borderId="69" xfId="0" applyFill="1" applyBorder="1" applyAlignment="1">
      <alignment horizontal="right"/>
    </xf>
    <xf numFmtId="0" fontId="0" fillId="7" borderId="148" xfId="0" applyFill="1" applyBorder="1" applyAlignment="1">
      <alignment horizontal="right"/>
    </xf>
    <xf numFmtId="0" fontId="0" fillId="7" borderId="62" xfId="0" applyFill="1" applyBorder="1" applyAlignment="1">
      <alignment horizontal="left" vertical="center" wrapText="1"/>
    </xf>
    <xf numFmtId="0" fontId="0" fillId="7" borderId="61" xfId="0" applyFill="1" applyBorder="1"/>
    <xf numFmtId="0" fontId="77" fillId="7" borderId="61" xfId="3" applyFont="1" applyFill="1" applyBorder="1"/>
    <xf numFmtId="0" fontId="0" fillId="0" borderId="0" xfId="0" applyBorder="1" applyAlignment="1">
      <alignment horizontal="center" vertical="center" wrapText="1"/>
    </xf>
    <xf numFmtId="0" fontId="1" fillId="0" borderId="0" xfId="0" applyFont="1" applyBorder="1"/>
    <xf numFmtId="0" fontId="0" fillId="0" borderId="0" xfId="0"/>
    <xf numFmtId="0" fontId="0" fillId="0" borderId="0" xfId="0"/>
    <xf numFmtId="0" fontId="0" fillId="7" borderId="69" xfId="0" applyFill="1" applyBorder="1" applyAlignment="1">
      <alignment wrapText="1"/>
    </xf>
    <xf numFmtId="0" fontId="2" fillId="0" borderId="0" xfId="0" applyFont="1"/>
    <xf numFmtId="0" fontId="2" fillId="2" borderId="10" xfId="0" applyFont="1" applyFill="1" applyBorder="1" applyAlignment="1">
      <alignment wrapText="1"/>
    </xf>
    <xf numFmtId="0" fontId="2" fillId="2" borderId="39" xfId="0" applyFont="1" applyFill="1" applyBorder="1" applyAlignment="1">
      <alignment wrapText="1"/>
    </xf>
    <xf numFmtId="0" fontId="105" fillId="2" borderId="38" xfId="0" applyFont="1" applyFill="1" applyBorder="1"/>
    <xf numFmtId="0" fontId="2" fillId="2" borderId="10" xfId="0" applyFont="1" applyFill="1" applyBorder="1"/>
    <xf numFmtId="0" fontId="0" fillId="101" borderId="151" xfId="0" applyFill="1" applyBorder="1" applyAlignment="1">
      <alignment wrapText="1"/>
    </xf>
    <xf numFmtId="0" fontId="0" fillId="101" borderId="151" xfId="0" applyFill="1" applyBorder="1"/>
    <xf numFmtId="0" fontId="77" fillId="7" borderId="69" xfId="3" applyFont="1" applyFill="1" applyBorder="1"/>
    <xf numFmtId="0" fontId="0" fillId="7" borderId="69" xfId="0" applyFill="1" applyBorder="1"/>
    <xf numFmtId="0" fontId="0" fillId="7" borderId="54" xfId="0" applyFill="1" applyBorder="1" applyAlignment="1">
      <alignment wrapText="1"/>
    </xf>
    <xf numFmtId="0" fontId="77" fillId="7" borderId="54" xfId="3" applyFont="1" applyFill="1" applyBorder="1"/>
    <xf numFmtId="0" fontId="0" fillId="7" borderId="54" xfId="0" applyFill="1" applyBorder="1"/>
    <xf numFmtId="0" fontId="0" fillId="7" borderId="44" xfId="0" applyFill="1" applyBorder="1" applyAlignment="1">
      <alignment wrapText="1"/>
    </xf>
    <xf numFmtId="0" fontId="77" fillId="7" borderId="44" xfId="3" applyFont="1" applyFill="1" applyBorder="1"/>
    <xf numFmtId="0" fontId="0" fillId="7" borderId="44" xfId="0" applyFill="1" applyBorder="1"/>
    <xf numFmtId="0" fontId="0" fillId="7" borderId="61" xfId="0" applyFill="1" applyBorder="1"/>
    <xf numFmtId="0" fontId="77" fillId="7" borderId="61" xfId="3" applyFont="1" applyFill="1" applyBorder="1"/>
    <xf numFmtId="0" fontId="77" fillId="101" borderId="151" xfId="3" applyFont="1" applyFill="1" applyBorder="1" applyAlignment="1">
      <alignment vertical="center" wrapText="1"/>
    </xf>
    <xf numFmtId="0" fontId="0" fillId="7" borderId="61" xfId="0" applyFill="1" applyBorder="1" applyAlignment="1"/>
    <xf numFmtId="0" fontId="106" fillId="105" borderId="0" xfId="0" applyFont="1" applyFill="1" applyBorder="1" applyAlignment="1">
      <alignment horizontal="right"/>
    </xf>
    <xf numFmtId="0" fontId="0" fillId="7" borderId="44" xfId="0" applyNumberFormat="1" applyFill="1" applyBorder="1" applyAlignment="1">
      <alignment horizontal="right" wrapText="1"/>
    </xf>
    <xf numFmtId="0" fontId="0" fillId="7" borderId="148" xfId="0" applyFill="1" applyBorder="1" applyAlignment="1">
      <alignment horizontal="right" wrapText="1"/>
    </xf>
    <xf numFmtId="0" fontId="0" fillId="7" borderId="69" xfId="0" applyNumberFormat="1" applyFill="1" applyBorder="1" applyAlignment="1">
      <alignment horizontal="right" wrapText="1"/>
    </xf>
    <xf numFmtId="0" fontId="0" fillId="7" borderId="52" xfId="0" quotePrefix="1" applyFill="1" applyBorder="1" applyAlignment="1">
      <alignment horizontal="right" wrapText="1"/>
    </xf>
    <xf numFmtId="166" fontId="5" fillId="7" borderId="7" xfId="0" applyNumberFormat="1" applyFont="1" applyFill="1" applyBorder="1" applyAlignment="1">
      <alignment horizontal="right" wrapText="1"/>
    </xf>
    <xf numFmtId="0" fontId="5" fillId="101" borderId="151" xfId="0" applyFont="1" applyFill="1" applyBorder="1" applyAlignment="1">
      <alignment wrapText="1"/>
    </xf>
    <xf numFmtId="0" fontId="77" fillId="101" borderId="151" xfId="0" applyFont="1" applyFill="1" applyBorder="1" applyAlignment="1">
      <alignment wrapText="1"/>
    </xf>
    <xf numFmtId="0" fontId="0" fillId="101" borderId="151" xfId="0" applyFont="1" applyFill="1" applyBorder="1"/>
    <xf numFmtId="0" fontId="0" fillId="101" borderId="151" xfId="0" applyFill="1" applyBorder="1" applyAlignment="1">
      <alignment horizontal="right" wrapText="1"/>
    </xf>
    <xf numFmtId="0" fontId="0" fillId="101" borderId="152" xfId="0" applyFill="1" applyBorder="1" applyAlignment="1">
      <alignment horizontal="right" wrapText="1"/>
    </xf>
    <xf numFmtId="0" fontId="8" fillId="101" borderId="151" xfId="3" applyFill="1" applyBorder="1" applyAlignment="1">
      <alignment wrapText="1"/>
    </xf>
    <xf numFmtId="0" fontId="0" fillId="101" borderId="44" xfId="0" applyFill="1" applyBorder="1" applyAlignment="1">
      <alignment wrapText="1"/>
    </xf>
    <xf numFmtId="0" fontId="77" fillId="101" borderId="44" xfId="0" applyFont="1" applyFill="1" applyBorder="1" applyAlignment="1">
      <alignment wrapText="1"/>
    </xf>
    <xf numFmtId="0" fontId="0" fillId="101" borderId="44" xfId="0" applyFont="1" applyFill="1" applyBorder="1"/>
    <xf numFmtId="0" fontId="0" fillId="101" borderId="44" xfId="0" applyFill="1" applyBorder="1" applyAlignment="1">
      <alignment horizontal="right" wrapText="1"/>
    </xf>
    <xf numFmtId="0" fontId="2" fillId="101" borderId="43" xfId="0" applyFont="1" applyFill="1" applyBorder="1" applyAlignment="1">
      <alignment horizontal="right" wrapText="1"/>
    </xf>
    <xf numFmtId="0" fontId="77" fillId="101" borderId="69" xfId="0" applyFont="1" applyFill="1" applyBorder="1" applyAlignment="1">
      <alignment wrapText="1"/>
    </xf>
    <xf numFmtId="0" fontId="0" fillId="101" borderId="69" xfId="0" applyFont="1" applyFill="1" applyBorder="1"/>
    <xf numFmtId="0" fontId="0" fillId="101" borderId="69" xfId="0" applyFill="1" applyBorder="1" applyAlignment="1">
      <alignment horizontal="right" wrapText="1"/>
    </xf>
    <xf numFmtId="0" fontId="2" fillId="101" borderId="148" xfId="0" applyFont="1" applyFill="1" applyBorder="1" applyAlignment="1">
      <alignment horizontal="right" wrapText="1"/>
    </xf>
    <xf numFmtId="0" fontId="0" fillId="101" borderId="153" xfId="0" applyFill="1" applyBorder="1" applyAlignment="1">
      <alignment wrapText="1"/>
    </xf>
    <xf numFmtId="0" fontId="0" fillId="101" borderId="153" xfId="0" applyFont="1" applyFill="1" applyBorder="1"/>
    <xf numFmtId="0" fontId="0" fillId="101" borderId="153" xfId="0" applyFill="1" applyBorder="1" applyAlignment="1">
      <alignment horizontal="right" wrapText="1"/>
    </xf>
    <xf numFmtId="0" fontId="2" fillId="101" borderId="150" xfId="0" applyFont="1" applyFill="1" applyBorder="1" applyAlignment="1">
      <alignment horizontal="right" wrapText="1"/>
    </xf>
    <xf numFmtId="0" fontId="0" fillId="101" borderId="208" xfId="0" applyFill="1" applyBorder="1" applyAlignment="1">
      <alignment vertical="center" wrapText="1"/>
    </xf>
    <xf numFmtId="0" fontId="0" fillId="101" borderId="208" xfId="0" applyFont="1" applyFill="1" applyBorder="1" applyAlignment="1">
      <alignment vertical="center"/>
    </xf>
    <xf numFmtId="0" fontId="0" fillId="101" borderId="208" xfId="0" applyFill="1" applyBorder="1" applyAlignment="1">
      <alignment horizontal="right" vertical="center" wrapText="1"/>
    </xf>
    <xf numFmtId="0" fontId="0" fillId="101" borderId="209" xfId="0" applyFill="1" applyBorder="1" applyAlignment="1">
      <alignment horizontal="right" vertical="center" wrapText="1"/>
    </xf>
    <xf numFmtId="0" fontId="107" fillId="101" borderId="153" xfId="3" applyFont="1" applyFill="1" applyBorder="1" applyAlignment="1">
      <alignment wrapText="1"/>
    </xf>
    <xf numFmtId="0" fontId="0" fillId="101" borderId="150" xfId="0" applyFill="1" applyBorder="1" applyAlignment="1">
      <alignment horizontal="right" wrapText="1"/>
    </xf>
    <xf numFmtId="0" fontId="107" fillId="101" borderId="69" xfId="3" applyFont="1" applyFill="1" applyBorder="1" applyAlignment="1">
      <alignment wrapText="1"/>
    </xf>
    <xf numFmtId="9" fontId="0" fillId="101" borderId="69" xfId="0" applyNumberFormat="1" applyFill="1" applyBorder="1" applyAlignment="1">
      <alignment horizontal="right" wrapText="1"/>
    </xf>
    <xf numFmtId="0" fontId="0" fillId="101" borderId="148" xfId="0" applyFill="1" applyBorder="1" applyAlignment="1">
      <alignment horizontal="right" wrapText="1"/>
    </xf>
    <xf numFmtId="0" fontId="78" fillId="101" borderId="69" xfId="0" applyFont="1" applyFill="1" applyBorder="1" applyAlignment="1">
      <alignment wrapText="1"/>
    </xf>
    <xf numFmtId="0" fontId="0" fillId="101" borderId="69" xfId="0" applyFont="1" applyFill="1" applyBorder="1" applyAlignment="1">
      <alignment wrapText="1"/>
    </xf>
    <xf numFmtId="0" fontId="0" fillId="101" borderId="69" xfId="0" applyFont="1" applyFill="1" applyBorder="1" applyAlignment="1">
      <alignment horizontal="right" wrapText="1"/>
    </xf>
    <xf numFmtId="0" fontId="0" fillId="101" borderId="148" xfId="0" applyFont="1" applyFill="1" applyBorder="1" applyAlignment="1">
      <alignment horizontal="right" wrapText="1"/>
    </xf>
    <xf numFmtId="0" fontId="0" fillId="101" borderId="0" xfId="0" applyFont="1" applyFill="1" applyBorder="1" applyAlignment="1">
      <alignment horizontal="right" wrapText="1"/>
    </xf>
    <xf numFmtId="0" fontId="106" fillId="105" borderId="206" xfId="0" applyFont="1" applyFill="1" applyBorder="1" applyAlignment="1">
      <alignment horizontal="left" vertical="center"/>
    </xf>
    <xf numFmtId="0" fontId="106" fillId="101" borderId="153" xfId="0" applyFont="1" applyFill="1" applyBorder="1" applyAlignment="1">
      <alignment wrapText="1"/>
    </xf>
    <xf numFmtId="0" fontId="107" fillId="105" borderId="153" xfId="3" applyFont="1" applyFill="1" applyBorder="1" applyAlignment="1">
      <alignment wrapText="1"/>
    </xf>
    <xf numFmtId="0" fontId="106" fillId="105" borderId="153" xfId="0" applyFont="1" applyFill="1" applyBorder="1" applyAlignment="1">
      <alignment wrapText="1"/>
    </xf>
    <xf numFmtId="0" fontId="106" fillId="105" borderId="153" xfId="0" applyFont="1" applyFill="1" applyBorder="1" applyAlignment="1"/>
    <xf numFmtId="0" fontId="106" fillId="105" borderId="153" xfId="0" applyFont="1" applyFill="1" applyBorder="1" applyAlignment="1">
      <alignment horizontal="right"/>
    </xf>
    <xf numFmtId="0" fontId="106" fillId="105" borderId="150" xfId="0" applyFont="1" applyFill="1" applyBorder="1" applyAlignment="1">
      <alignment horizontal="right"/>
    </xf>
    <xf numFmtId="0" fontId="0" fillId="101" borderId="209" xfId="0" applyFill="1" applyBorder="1" applyAlignment="1">
      <alignment horizontal="right" wrapText="1"/>
    </xf>
    <xf numFmtId="166" fontId="0" fillId="0" borderId="0" xfId="289" applyNumberFormat="1" applyFont="1"/>
    <xf numFmtId="0" fontId="0" fillId="67" borderId="67" xfId="0" applyFill="1" applyBorder="1"/>
    <xf numFmtId="0" fontId="0" fillId="7" borderId="67" xfId="0" applyFill="1" applyBorder="1"/>
    <xf numFmtId="0" fontId="0" fillId="101" borderId="210" xfId="0" applyFill="1" applyBorder="1"/>
    <xf numFmtId="0" fontId="0" fillId="101" borderId="210" xfId="0" applyFill="1" applyBorder="1" applyAlignment="1">
      <alignment horizontal="right" wrapText="1"/>
    </xf>
    <xf numFmtId="9" fontId="0" fillId="7" borderId="211" xfId="0" applyNumberFormat="1" applyFill="1" applyBorder="1" applyAlignment="1">
      <alignment horizontal="right" wrapText="1"/>
    </xf>
    <xf numFmtId="0" fontId="0" fillId="7" borderId="211" xfId="0" applyFill="1" applyBorder="1" applyAlignment="1">
      <alignment horizontal="right" wrapText="1"/>
    </xf>
    <xf numFmtId="9" fontId="5" fillId="7" borderId="211" xfId="0" quotePrefix="1" applyNumberFormat="1" applyFont="1" applyFill="1" applyBorder="1" applyAlignment="1">
      <alignment horizontal="right" wrapText="1"/>
    </xf>
    <xf numFmtId="9" fontId="0" fillId="7" borderId="211" xfId="0" quotePrefix="1" applyNumberFormat="1" applyFill="1" applyBorder="1" applyAlignment="1">
      <alignment horizontal="right" wrapText="1"/>
    </xf>
    <xf numFmtId="0" fontId="0" fillId="7" borderId="211" xfId="0" applyFont="1" applyFill="1" applyBorder="1" applyAlignment="1">
      <alignment horizontal="right" wrapText="1"/>
    </xf>
    <xf numFmtId="9" fontId="0" fillId="67" borderId="211" xfId="0" applyNumberFormat="1" applyFill="1" applyBorder="1" applyAlignment="1">
      <alignment horizontal="right" wrapText="1"/>
    </xf>
    <xf numFmtId="0" fontId="0" fillId="67" borderId="211" xfId="0" applyFill="1" applyBorder="1" applyAlignment="1">
      <alignment horizontal="right" wrapText="1"/>
    </xf>
    <xf numFmtId="0" fontId="0" fillId="7" borderId="160" xfId="0" applyFill="1" applyBorder="1" applyAlignment="1">
      <alignment horizontal="right" wrapText="1"/>
    </xf>
    <xf numFmtId="0" fontId="0" fillId="67" borderId="212" xfId="0" applyFill="1" applyBorder="1" applyAlignment="1">
      <alignment horizontal="right" wrapText="1"/>
    </xf>
    <xf numFmtId="0" fontId="106" fillId="105" borderId="210" xfId="0" applyFont="1" applyFill="1" applyBorder="1" applyAlignment="1">
      <alignment horizontal="right"/>
    </xf>
    <xf numFmtId="0" fontId="106" fillId="103" borderId="41" xfId="0" applyFont="1" applyFill="1" applyBorder="1" applyAlignment="1">
      <alignment horizontal="right"/>
    </xf>
    <xf numFmtId="0" fontId="108" fillId="103" borderId="41" xfId="0" applyFont="1" applyFill="1" applyBorder="1" applyAlignment="1">
      <alignment horizontal="right" wrapText="1"/>
    </xf>
    <xf numFmtId="0" fontId="106" fillId="103" borderId="41" xfId="0" applyFont="1" applyFill="1" applyBorder="1" applyAlignment="1">
      <alignment horizontal="right" wrapText="1"/>
    </xf>
    <xf numFmtId="0" fontId="106" fillId="103" borderId="67" xfId="0" applyFont="1" applyFill="1" applyBorder="1" applyAlignment="1">
      <alignment horizontal="right"/>
    </xf>
    <xf numFmtId="0" fontId="106" fillId="103" borderId="64" xfId="0" applyFont="1" applyFill="1" applyBorder="1" applyAlignment="1">
      <alignment horizontal="right"/>
    </xf>
    <xf numFmtId="0" fontId="5" fillId="0" borderId="0" xfId="3" applyFont="1" applyFill="1" applyBorder="1" applyAlignment="1">
      <alignment wrapText="1"/>
    </xf>
    <xf numFmtId="10" fontId="0" fillId="101" borderId="210" xfId="0" applyNumberFormat="1" applyFill="1" applyBorder="1" applyAlignment="1">
      <alignment horizontal="right" wrapText="1"/>
    </xf>
    <xf numFmtId="9" fontId="0" fillId="101" borderId="41" xfId="0" applyNumberFormat="1" applyFill="1" applyBorder="1" applyAlignment="1">
      <alignment horizontal="right" wrapText="1"/>
    </xf>
    <xf numFmtId="0" fontId="0" fillId="101" borderId="41" xfId="0" applyFont="1" applyFill="1" applyBorder="1" applyAlignment="1">
      <alignment horizontal="right" wrapText="1"/>
    </xf>
    <xf numFmtId="0" fontId="0" fillId="7" borderId="41" xfId="0" applyFill="1" applyBorder="1" applyAlignment="1">
      <alignment horizontal="right" wrapText="1"/>
    </xf>
    <xf numFmtId="166" fontId="6" fillId="7" borderId="41" xfId="0" applyNumberFormat="1" applyFont="1" applyFill="1" applyBorder="1" applyAlignment="1">
      <alignment horizontal="right" wrapText="1"/>
    </xf>
    <xf numFmtId="9" fontId="0" fillId="7" borderId="41" xfId="0" applyNumberFormat="1" applyFill="1" applyBorder="1" applyAlignment="1">
      <alignment horizontal="right" wrapText="1"/>
    </xf>
    <xf numFmtId="166" fontId="0" fillId="7" borderId="41" xfId="0" applyNumberFormat="1" applyFill="1" applyBorder="1" applyAlignment="1">
      <alignment horizontal="right" wrapText="1"/>
    </xf>
    <xf numFmtId="0" fontId="5" fillId="7" borderId="41" xfId="0" applyFont="1" applyFill="1" applyBorder="1" applyAlignment="1">
      <alignment horizontal="right" wrapText="1"/>
    </xf>
    <xf numFmtId="0" fontId="0" fillId="101" borderId="41" xfId="0" applyFill="1" applyBorder="1" applyAlignment="1">
      <alignment horizontal="right" wrapText="1"/>
    </xf>
    <xf numFmtId="0" fontId="0" fillId="67" borderId="148" xfId="0" applyFill="1" applyBorder="1" applyAlignment="1">
      <alignment horizontal="right" wrapText="1"/>
    </xf>
    <xf numFmtId="0" fontId="5" fillId="67" borderId="211" xfId="0" applyFont="1" applyFill="1" applyBorder="1" applyAlignment="1">
      <alignment horizontal="right" wrapText="1"/>
    </xf>
    <xf numFmtId="0" fontId="5" fillId="67" borderId="212" xfId="0" applyFont="1" applyFill="1" applyBorder="1" applyAlignment="1">
      <alignment horizontal="right" wrapText="1"/>
    </xf>
    <xf numFmtId="0" fontId="0" fillId="7" borderId="41" xfId="0" applyFill="1" applyBorder="1" applyAlignment="1">
      <alignment wrapText="1"/>
    </xf>
    <xf numFmtId="0" fontId="0" fillId="7" borderId="67" xfId="0" applyFill="1" applyBorder="1" applyAlignment="1">
      <alignment wrapText="1"/>
    </xf>
    <xf numFmtId="0" fontId="0" fillId="7" borderId="41" xfId="0" applyFill="1" applyBorder="1" applyAlignment="1">
      <alignment horizontal="left" wrapText="1"/>
    </xf>
    <xf numFmtId="0" fontId="0" fillId="101" borderId="210" xfId="0" applyFill="1" applyBorder="1" applyAlignment="1">
      <alignment horizontal="right" vertical="center" wrapText="1"/>
    </xf>
    <xf numFmtId="10" fontId="5" fillId="7" borderId="41" xfId="0" applyNumberFormat="1" applyFont="1" applyFill="1" applyBorder="1" applyAlignment="1">
      <alignment horizontal="right" vertical="center" wrapText="1"/>
    </xf>
    <xf numFmtId="0" fontId="5" fillId="7" borderId="41" xfId="0" applyFont="1" applyFill="1" applyBorder="1" applyAlignment="1">
      <alignment horizontal="right" vertical="center" wrapText="1"/>
    </xf>
    <xf numFmtId="0" fontId="0" fillId="7" borderId="41" xfId="0" applyFill="1" applyBorder="1" applyAlignment="1">
      <alignment horizontal="right" vertical="center" wrapText="1"/>
    </xf>
    <xf numFmtId="9" fontId="0" fillId="7" borderId="41" xfId="0" applyNumberFormat="1" applyFill="1" applyBorder="1" applyAlignment="1">
      <alignment horizontal="right" vertical="center" wrapText="1"/>
    </xf>
    <xf numFmtId="0" fontId="5" fillId="102" borderId="41" xfId="0" applyFont="1" applyFill="1" applyBorder="1" applyAlignment="1">
      <alignment vertical="center" wrapText="1"/>
    </xf>
    <xf numFmtId="0" fontId="5" fillId="102" borderId="67" xfId="0" applyFont="1" applyFill="1" applyBorder="1" applyAlignment="1">
      <alignment vertical="center" wrapText="1"/>
    </xf>
    <xf numFmtId="0" fontId="0" fillId="7" borderId="41" xfId="0" applyFill="1" applyBorder="1" applyAlignment="1">
      <alignment horizontal="left"/>
    </xf>
    <xf numFmtId="0" fontId="2" fillId="101" borderId="210" xfId="0" applyFont="1" applyFill="1" applyBorder="1" applyAlignment="1">
      <alignment horizontal="right" wrapText="1"/>
    </xf>
    <xf numFmtId="0" fontId="2" fillId="101" borderId="41" xfId="0" applyFont="1" applyFill="1" applyBorder="1" applyAlignment="1">
      <alignment horizontal="right" wrapText="1"/>
    </xf>
    <xf numFmtId="0" fontId="73" fillId="7" borderId="41" xfId="0" applyFont="1" applyFill="1" applyBorder="1" applyAlignment="1">
      <alignment horizontal="right" wrapText="1"/>
    </xf>
    <xf numFmtId="0" fontId="0" fillId="7" borderId="41" xfId="0" quotePrefix="1" applyFill="1" applyBorder="1" applyAlignment="1">
      <alignment horizontal="right" wrapText="1"/>
    </xf>
    <xf numFmtId="0" fontId="112" fillId="7" borderId="67" xfId="0" applyFont="1" applyFill="1" applyBorder="1" applyAlignment="1">
      <alignment horizontal="right" wrapText="1"/>
    </xf>
    <xf numFmtId="0" fontId="5" fillId="7" borderId="41" xfId="0" quotePrefix="1" applyFont="1" applyFill="1" applyBorder="1" applyAlignment="1">
      <alignment horizontal="right" wrapText="1"/>
    </xf>
    <xf numFmtId="0" fontId="111" fillId="7" borderId="57" xfId="0" applyFont="1" applyFill="1" applyBorder="1" applyAlignment="1">
      <alignment wrapText="1"/>
    </xf>
    <xf numFmtId="0" fontId="111" fillId="7" borderId="57" xfId="0" applyFont="1" applyFill="1" applyBorder="1" applyAlignment="1">
      <alignment horizontal="right" wrapText="1"/>
    </xf>
    <xf numFmtId="0" fontId="111" fillId="7" borderId="58" xfId="0" applyFont="1" applyFill="1" applyBorder="1" applyAlignment="1">
      <alignment horizontal="right" wrapText="1"/>
    </xf>
    <xf numFmtId="0" fontId="5" fillId="7" borderId="57" xfId="0" applyFont="1" applyFill="1" applyBorder="1"/>
    <xf numFmtId="0" fontId="5" fillId="7" borderId="57" xfId="0" applyFont="1" applyFill="1" applyBorder="1" applyAlignment="1">
      <alignment wrapText="1"/>
    </xf>
    <xf numFmtId="0" fontId="5" fillId="67" borderId="41" xfId="0" applyFont="1" applyFill="1" applyBorder="1" applyAlignment="1">
      <alignment horizontal="right" wrapText="1"/>
    </xf>
    <xf numFmtId="0" fontId="5" fillId="67" borderId="67" xfId="0" applyFont="1" applyFill="1" applyBorder="1" applyAlignment="1">
      <alignment horizontal="right" wrapText="1"/>
    </xf>
    <xf numFmtId="10" fontId="0" fillId="7" borderId="41" xfId="0" applyNumberFormat="1" applyFill="1" applyBorder="1" applyAlignment="1">
      <alignment horizontal="right" wrapText="1"/>
    </xf>
    <xf numFmtId="0" fontId="0" fillId="7" borderId="41" xfId="0" applyNumberFormat="1" applyFill="1" applyBorder="1" applyAlignment="1">
      <alignment horizontal="right" wrapText="1"/>
    </xf>
    <xf numFmtId="0" fontId="0" fillId="67" borderId="41" xfId="0" applyFill="1" applyBorder="1" applyAlignment="1">
      <alignment horizontal="right" wrapText="1"/>
    </xf>
    <xf numFmtId="0" fontId="0" fillId="67" borderId="67" xfId="0" applyFill="1" applyBorder="1" applyAlignment="1">
      <alignment horizontal="right" wrapText="1"/>
    </xf>
    <xf numFmtId="9" fontId="0" fillId="101" borderId="210" xfId="0" applyNumberFormat="1" applyFill="1" applyBorder="1" applyAlignment="1">
      <alignment horizontal="right" wrapText="1"/>
    </xf>
    <xf numFmtId="166" fontId="0" fillId="7" borderId="41" xfId="289" applyNumberFormat="1" applyFont="1" applyFill="1" applyBorder="1" applyAlignment="1">
      <alignment horizontal="right" wrapText="1"/>
    </xf>
    <xf numFmtId="0" fontId="0" fillId="102" borderId="211" xfId="0" applyFill="1" applyBorder="1" applyAlignment="1">
      <alignment horizontal="right" wrapText="1"/>
    </xf>
    <xf numFmtId="0" fontId="0" fillId="102" borderId="41" xfId="0" applyFill="1" applyBorder="1" applyAlignment="1">
      <alignment horizontal="right" wrapText="1"/>
    </xf>
    <xf numFmtId="0" fontId="82" fillId="0" borderId="0" xfId="0" applyFont="1"/>
    <xf numFmtId="0" fontId="121" fillId="0" borderId="0" xfId="0" applyFont="1" applyAlignment="1"/>
    <xf numFmtId="0" fontId="5" fillId="0" borderId="0" xfId="0" applyFont="1" applyAlignment="1">
      <alignment wrapText="1"/>
    </xf>
    <xf numFmtId="0" fontId="5" fillId="0" borderId="0" xfId="0" applyFont="1" applyFill="1" applyBorder="1" applyAlignment="1">
      <alignment horizontal="left" wrapText="1"/>
    </xf>
    <xf numFmtId="0" fontId="5" fillId="0" borderId="0" xfId="0" applyFont="1" applyAlignment="1">
      <alignment vertical="center" wrapText="1"/>
    </xf>
    <xf numFmtId="0" fontId="122" fillId="0" borderId="0" xfId="3" applyFont="1" applyFill="1" applyBorder="1" applyAlignment="1">
      <alignment wrapText="1"/>
    </xf>
    <xf numFmtId="0" fontId="117" fillId="0" borderId="0" xfId="3" applyFont="1" applyFill="1" applyBorder="1" applyAlignment="1">
      <alignment wrapText="1"/>
    </xf>
    <xf numFmtId="0" fontId="117" fillId="0" borderId="0" xfId="3" applyFont="1" applyFill="1" applyBorder="1" applyAlignment="1">
      <alignment horizontal="left" wrapText="1"/>
    </xf>
    <xf numFmtId="0" fontId="0" fillId="7" borderId="70" xfId="0" applyFill="1" applyBorder="1" applyAlignment="1">
      <alignment horizontal="right" wrapText="1"/>
    </xf>
    <xf numFmtId="9" fontId="5" fillId="7" borderId="70" xfId="0" quotePrefix="1" applyNumberFormat="1" applyFont="1" applyFill="1" applyBorder="1" applyAlignment="1">
      <alignment horizontal="right" wrapText="1"/>
    </xf>
    <xf numFmtId="9" fontId="0" fillId="7" borderId="70" xfId="0" quotePrefix="1" applyNumberFormat="1" applyFill="1" applyBorder="1" applyAlignment="1">
      <alignment horizontal="right" wrapText="1"/>
    </xf>
    <xf numFmtId="0" fontId="0" fillId="7" borderId="70" xfId="0" applyFont="1" applyFill="1" applyBorder="1" applyAlignment="1">
      <alignment horizontal="right" wrapText="1"/>
    </xf>
    <xf numFmtId="0" fontId="0" fillId="67" borderId="70" xfId="0" applyFill="1" applyBorder="1" applyAlignment="1">
      <alignment horizontal="right" wrapText="1"/>
    </xf>
    <xf numFmtId="0" fontId="0" fillId="7" borderId="215" xfId="0" applyFill="1" applyBorder="1" applyAlignment="1">
      <alignment horizontal="right" wrapText="1"/>
    </xf>
    <xf numFmtId="9" fontId="5" fillId="7" borderId="148" xfId="0" quotePrefix="1" applyNumberFormat="1" applyFont="1" applyFill="1" applyBorder="1" applyAlignment="1">
      <alignment horizontal="right" wrapText="1"/>
    </xf>
    <xf numFmtId="9" fontId="0" fillId="7" borderId="148" xfId="0" quotePrefix="1" applyNumberFormat="1" applyFill="1" applyBorder="1" applyAlignment="1">
      <alignment horizontal="right" wrapText="1"/>
    </xf>
    <xf numFmtId="0" fontId="0" fillId="7" borderId="148" xfId="0" applyFont="1" applyFill="1" applyBorder="1" applyAlignment="1">
      <alignment horizontal="right" wrapText="1"/>
    </xf>
    <xf numFmtId="0" fontId="111" fillId="7" borderId="67" xfId="0" applyFont="1" applyFill="1" applyBorder="1" applyAlignment="1">
      <alignment horizontal="right" wrapText="1"/>
    </xf>
    <xf numFmtId="0" fontId="77" fillId="0" borderId="213" xfId="0" applyFont="1" applyBorder="1" applyAlignment="1"/>
    <xf numFmtId="0" fontId="0" fillId="0" borderId="214" xfId="0" applyBorder="1"/>
    <xf numFmtId="0" fontId="0" fillId="0" borderId="214" xfId="0" applyBorder="1" applyAlignment="1"/>
    <xf numFmtId="0" fontId="77" fillId="0" borderId="217" xfId="0" applyFont="1" applyBorder="1" applyAlignment="1"/>
    <xf numFmtId="0" fontId="77" fillId="104" borderId="217" xfId="0" applyFont="1" applyFill="1" applyBorder="1" applyAlignment="1"/>
    <xf numFmtId="0" fontId="0" fillId="104" borderId="217" xfId="0" applyFont="1" applyFill="1" applyBorder="1" applyAlignment="1"/>
    <xf numFmtId="0" fontId="0" fillId="0" borderId="217" xfId="0" applyFont="1" applyBorder="1" applyAlignment="1"/>
    <xf numFmtId="0" fontId="77" fillId="104" borderId="218" xfId="0" applyFont="1" applyFill="1" applyBorder="1" applyAlignment="1"/>
    <xf numFmtId="0" fontId="0" fillId="104" borderId="219" xfId="0" applyFont="1" applyFill="1" applyBorder="1"/>
    <xf numFmtId="0" fontId="0" fillId="104" borderId="219" xfId="0" applyFont="1" applyFill="1" applyBorder="1" applyAlignment="1"/>
    <xf numFmtId="0" fontId="0" fillId="67" borderId="44" xfId="0" applyFill="1" applyBorder="1" applyAlignment="1">
      <alignment wrapText="1"/>
    </xf>
    <xf numFmtId="0" fontId="0" fillId="67" borderId="160" xfId="0" applyFill="1" applyBorder="1"/>
    <xf numFmtId="0" fontId="0" fillId="67" borderId="211" xfId="0" applyFill="1" applyBorder="1"/>
    <xf numFmtId="0" fontId="0" fillId="67" borderId="221" xfId="0" applyFill="1" applyBorder="1" applyAlignment="1">
      <alignment horizontal="right" wrapText="1"/>
    </xf>
    <xf numFmtId="0" fontId="5" fillId="67" borderId="221" xfId="0" applyFont="1" applyFill="1" applyBorder="1" applyAlignment="1">
      <alignment horizontal="right" wrapText="1"/>
    </xf>
    <xf numFmtId="0" fontId="0" fillId="67" borderId="54" xfId="0" quotePrefix="1" applyFont="1" applyFill="1" applyBorder="1" applyAlignment="1">
      <alignment horizontal="right" wrapText="1"/>
    </xf>
    <xf numFmtId="11" fontId="0" fillId="0" borderId="0" xfId="0" applyNumberFormat="1"/>
    <xf numFmtId="11" fontId="5" fillId="0" borderId="0" xfId="0" applyNumberFormat="1" applyFont="1"/>
    <xf numFmtId="0" fontId="116" fillId="0" borderId="0" xfId="0" applyFont="1"/>
    <xf numFmtId="11" fontId="116" fillId="0" borderId="0" xfId="0" applyNumberFormat="1" applyFont="1"/>
    <xf numFmtId="0" fontId="6" fillId="0" borderId="0" xfId="0" applyFont="1"/>
    <xf numFmtId="0" fontId="77" fillId="0" borderId="0" xfId="0" applyFont="1"/>
    <xf numFmtId="11" fontId="77" fillId="0" borderId="0" xfId="0" applyNumberFormat="1" applyFont="1"/>
    <xf numFmtId="1" fontId="5" fillId="0" borderId="0" xfId="0" applyNumberFormat="1" applyFont="1"/>
    <xf numFmtId="0" fontId="5" fillId="0" borderId="0" xfId="0" applyNumberFormat="1" applyFont="1"/>
    <xf numFmtId="0" fontId="77" fillId="0" borderId="0" xfId="0" applyNumberFormat="1" applyFont="1"/>
    <xf numFmtId="49" fontId="5" fillId="0" borderId="0" xfId="0" applyNumberFormat="1" applyFont="1"/>
    <xf numFmtId="9" fontId="5" fillId="0" borderId="0" xfId="0" applyNumberFormat="1" applyFont="1"/>
    <xf numFmtId="0" fontId="124" fillId="0" borderId="0" xfId="0" applyFont="1"/>
    <xf numFmtId="0" fontId="77" fillId="0" borderId="0" xfId="0" quotePrefix="1" applyFont="1"/>
    <xf numFmtId="0" fontId="0" fillId="68" borderId="37" xfId="0" applyFont="1" applyFill="1" applyBorder="1" applyAlignment="1"/>
    <xf numFmtId="0" fontId="0" fillId="6" borderId="37" xfId="0" applyFont="1" applyFill="1" applyBorder="1" applyAlignment="1"/>
    <xf numFmtId="0" fontId="0" fillId="6" borderId="0" xfId="0" applyFont="1" applyFill="1" applyBorder="1" applyAlignment="1"/>
    <xf numFmtId="0" fontId="0" fillId="107" borderId="37" xfId="0" applyFont="1" applyFill="1" applyBorder="1" applyAlignment="1"/>
    <xf numFmtId="0" fontId="0" fillId="107" borderId="0" xfId="0" applyFont="1" applyFill="1" applyBorder="1" applyAlignment="1"/>
    <xf numFmtId="0" fontId="0" fillId="0" borderId="213" xfId="0" applyBorder="1"/>
    <xf numFmtId="0" fontId="0" fillId="0" borderId="216" xfId="0" applyBorder="1"/>
    <xf numFmtId="0" fontId="0" fillId="0" borderId="4" xfId="0" applyBorder="1"/>
    <xf numFmtId="0" fontId="0" fillId="0" borderId="5" xfId="0" applyBorder="1"/>
    <xf numFmtId="165" fontId="0" fillId="0" borderId="64" xfId="1" applyNumberFormat="1" applyFont="1" applyBorder="1"/>
    <xf numFmtId="165" fontId="0" fillId="0" borderId="6" xfId="1" applyNumberFormat="1" applyFont="1" applyBorder="1"/>
    <xf numFmtId="165" fontId="0" fillId="0" borderId="222" xfId="1" applyNumberFormat="1" applyFont="1" applyBorder="1"/>
    <xf numFmtId="0" fontId="0" fillId="6" borderId="223" xfId="0" applyFont="1" applyFill="1" applyBorder="1" applyAlignment="1"/>
    <xf numFmtId="0" fontId="82" fillId="0" borderId="38" xfId="0" applyFont="1" applyBorder="1"/>
    <xf numFmtId="0" fontId="82" fillId="0" borderId="10" xfId="0" applyFont="1" applyBorder="1"/>
    <xf numFmtId="0" fontId="82" fillId="0" borderId="10" xfId="0" applyFont="1" applyFill="1" applyBorder="1"/>
    <xf numFmtId="0" fontId="82" fillId="0" borderId="39" xfId="0" applyFont="1" applyBorder="1"/>
    <xf numFmtId="0" fontId="0" fillId="0" borderId="64" xfId="0" applyBorder="1"/>
    <xf numFmtId="0" fontId="0" fillId="0" borderId="6" xfId="0" applyBorder="1"/>
    <xf numFmtId="0" fontId="0" fillId="0" borderId="222" xfId="0" applyBorder="1"/>
    <xf numFmtId="165" fontId="0" fillId="7" borderId="64" xfId="1" applyNumberFormat="1" applyFont="1" applyFill="1" applyBorder="1"/>
    <xf numFmtId="165" fontId="0" fillId="7" borderId="222" xfId="1" applyNumberFormat="1" applyFont="1" applyFill="1" applyBorder="1"/>
    <xf numFmtId="165" fontId="0" fillId="7" borderId="6" xfId="1" applyNumberFormat="1" applyFont="1" applyFill="1" applyBorder="1"/>
    <xf numFmtId="0" fontId="7" fillId="0" borderId="0" xfId="0" applyFont="1"/>
    <xf numFmtId="9" fontId="0" fillId="7" borderId="160" xfId="0" applyNumberFormat="1" applyFill="1" applyBorder="1" applyAlignment="1">
      <alignment horizontal="right" wrapText="1"/>
    </xf>
    <xf numFmtId="9" fontId="5" fillId="7" borderId="41" xfId="0" applyNumberFormat="1" applyFont="1" applyFill="1" applyBorder="1" applyAlignment="1">
      <alignment horizontal="right" vertical="center" wrapText="1"/>
    </xf>
    <xf numFmtId="0" fontId="3" fillId="7" borderId="41" xfId="0" applyFont="1" applyFill="1" applyBorder="1" applyAlignment="1">
      <alignment horizontal="right" wrapText="1"/>
    </xf>
    <xf numFmtId="0" fontId="7" fillId="0" borderId="0" xfId="0" applyNumberFormat="1" applyFont="1"/>
    <xf numFmtId="0" fontId="125" fillId="0" borderId="0" xfId="0" applyFont="1" applyFill="1" applyAlignment="1"/>
    <xf numFmtId="2" fontId="4" fillId="0" borderId="0" xfId="136" applyNumberFormat="1" applyFill="1" applyBorder="1"/>
    <xf numFmtId="172" fontId="4" fillId="0" borderId="213" xfId="136" applyNumberFormat="1" applyBorder="1"/>
    <xf numFmtId="172" fontId="4" fillId="0" borderId="214" xfId="136" applyNumberFormat="1" applyBorder="1"/>
    <xf numFmtId="2" fontId="4" fillId="0" borderId="216" xfId="136" applyNumberFormat="1" applyBorder="1"/>
    <xf numFmtId="2" fontId="4" fillId="0" borderId="5" xfId="136" applyNumberFormat="1" applyBorder="1"/>
    <xf numFmtId="172" fontId="4" fillId="0" borderId="64" xfId="136" applyNumberFormat="1" applyBorder="1"/>
    <xf numFmtId="172" fontId="4" fillId="0" borderId="6" xfId="136" applyNumberFormat="1" applyBorder="1"/>
    <xf numFmtId="2" fontId="4" fillId="0" borderId="222" xfId="136" applyNumberFormat="1" applyBorder="1"/>
    <xf numFmtId="0" fontId="3" fillId="0" borderId="0" xfId="0" applyFont="1" applyFill="1"/>
    <xf numFmtId="0" fontId="7" fillId="0" borderId="0" xfId="0" applyFont="1" applyFill="1"/>
    <xf numFmtId="0" fontId="77" fillId="0" borderId="0" xfId="0" applyFont="1" applyFill="1"/>
    <xf numFmtId="0" fontId="4" fillId="0" borderId="0" xfId="0" applyFont="1" applyFill="1" applyBorder="1"/>
    <xf numFmtId="0" fontId="108" fillId="0" borderId="0" xfId="0" applyFont="1" applyFill="1" applyBorder="1"/>
    <xf numFmtId="0" fontId="0" fillId="0" borderId="226" xfId="0" applyBorder="1"/>
    <xf numFmtId="0" fontId="0" fillId="0" borderId="227" xfId="0" applyBorder="1"/>
    <xf numFmtId="2" fontId="0" fillId="0" borderId="224" xfId="0" applyNumberFormat="1" applyBorder="1"/>
    <xf numFmtId="2" fontId="0" fillId="0" borderId="225" xfId="0" applyNumberFormat="1" applyBorder="1"/>
    <xf numFmtId="0" fontId="0" fillId="0" borderId="30" xfId="0" applyBorder="1"/>
    <xf numFmtId="0" fontId="0" fillId="0" borderId="30" xfId="0" applyNumberFormat="1" applyBorder="1"/>
    <xf numFmtId="0" fontId="0" fillId="0" borderId="225" xfId="0" applyNumberFormat="1" applyBorder="1"/>
    <xf numFmtId="2" fontId="0" fillId="0" borderId="226" xfId="0" applyNumberFormat="1" applyBorder="1"/>
    <xf numFmtId="2" fontId="0" fillId="0" borderId="227" xfId="0" applyNumberFormat="1" applyBorder="1"/>
    <xf numFmtId="0" fontId="0" fillId="0" borderId="0" xfId="0" applyNumberFormat="1" applyBorder="1"/>
    <xf numFmtId="0" fontId="0" fillId="0" borderId="227" xfId="0" applyNumberFormat="1" applyBorder="1"/>
    <xf numFmtId="2" fontId="0" fillId="108" borderId="226" xfId="0" applyNumberFormat="1" applyFill="1" applyBorder="1"/>
    <xf numFmtId="2" fontId="0" fillId="108" borderId="227" xfId="0" applyNumberFormat="1" applyFill="1" applyBorder="1"/>
    <xf numFmtId="9" fontId="0" fillId="108" borderId="0" xfId="0" applyNumberFormat="1" applyFill="1" applyBorder="1"/>
    <xf numFmtId="2" fontId="0" fillId="108" borderId="0" xfId="0" applyNumberFormat="1" applyFill="1" applyBorder="1"/>
    <xf numFmtId="2" fontId="0" fillId="0" borderId="0" xfId="0" applyNumberFormat="1" applyBorder="1"/>
    <xf numFmtId="9" fontId="0" fillId="0" borderId="0" xfId="206" applyFont="1" applyBorder="1"/>
    <xf numFmtId="2" fontId="0" fillId="109" borderId="226" xfId="0" applyNumberFormat="1" applyFill="1" applyBorder="1"/>
    <xf numFmtId="2" fontId="0" fillId="109" borderId="227" xfId="0" applyNumberFormat="1" applyFill="1" applyBorder="1"/>
    <xf numFmtId="9" fontId="0" fillId="109" borderId="0" xfId="0" applyNumberFormat="1" applyFill="1" applyBorder="1"/>
    <xf numFmtId="2" fontId="0" fillId="109" borderId="0" xfId="0" applyNumberFormat="1" applyFill="1" applyBorder="1"/>
    <xf numFmtId="2" fontId="0" fillId="0" borderId="0" xfId="0" applyNumberFormat="1" applyFill="1" applyBorder="1"/>
    <xf numFmtId="9" fontId="0" fillId="108" borderId="0" xfId="206" applyFont="1" applyFill="1" applyBorder="1"/>
    <xf numFmtId="9" fontId="0" fillId="109" borderId="0" xfId="206" applyFont="1" applyFill="1" applyBorder="1"/>
    <xf numFmtId="2" fontId="0" fillId="0" borderId="226" xfId="0" applyNumberFormat="1" applyFill="1" applyBorder="1"/>
    <xf numFmtId="2" fontId="0" fillId="0" borderId="227" xfId="0" applyNumberFormat="1" applyFill="1" applyBorder="1"/>
    <xf numFmtId="9" fontId="0" fillId="0" borderId="0" xfId="0" applyNumberFormat="1" applyFill="1" applyBorder="1"/>
    <xf numFmtId="2" fontId="0" fillId="0" borderId="0" xfId="206" applyNumberFormat="1" applyFont="1" applyBorder="1"/>
    <xf numFmtId="2" fontId="5" fillId="0" borderId="0" xfId="0" applyNumberFormat="1" applyFont="1" applyFill="1" applyBorder="1"/>
    <xf numFmtId="2" fontId="0" fillId="0" borderId="228" xfId="0" applyNumberFormat="1" applyBorder="1"/>
    <xf numFmtId="2" fontId="0" fillId="0" borderId="229" xfId="0" applyNumberFormat="1" applyBorder="1"/>
    <xf numFmtId="0" fontId="0" fillId="0" borderId="24" xfId="0" applyBorder="1"/>
    <xf numFmtId="2" fontId="0" fillId="0" borderId="24" xfId="0" applyNumberFormat="1" applyBorder="1"/>
    <xf numFmtId="0" fontId="5" fillId="106" borderId="0" xfId="0" applyFont="1" applyFill="1"/>
    <xf numFmtId="0" fontId="5" fillId="0" borderId="0" xfId="0" applyFont="1" applyFill="1" applyAlignment="1">
      <alignment wrapText="1"/>
    </xf>
    <xf numFmtId="0" fontId="117" fillId="0" borderId="0" xfId="0" applyFont="1" applyAlignment="1">
      <alignment wrapText="1"/>
    </xf>
    <xf numFmtId="0" fontId="117" fillId="0" borderId="0" xfId="0" applyFont="1" applyAlignment="1">
      <alignment vertical="center" wrapText="1"/>
    </xf>
    <xf numFmtId="0" fontId="5" fillId="0" borderId="0" xfId="0" quotePrefix="1" applyFont="1" applyAlignment="1">
      <alignment vertical="center" wrapText="1"/>
    </xf>
    <xf numFmtId="0" fontId="5" fillId="0" borderId="0" xfId="0" quotePrefix="1" applyFont="1" applyAlignment="1">
      <alignment wrapText="1"/>
    </xf>
    <xf numFmtId="0" fontId="5" fillId="7" borderId="211" xfId="0" applyFont="1" applyFill="1" applyBorder="1" applyAlignment="1">
      <alignment horizontal="right" wrapText="1"/>
    </xf>
    <xf numFmtId="0" fontId="5" fillId="0" borderId="0" xfId="0" applyFont="1" applyFill="1" applyBorder="1" applyAlignment="1">
      <alignment vertical="center" wrapText="1"/>
    </xf>
    <xf numFmtId="0" fontId="82" fillId="0" borderId="0" xfId="0" applyFont="1" applyFill="1" applyAlignment="1">
      <alignment wrapText="1"/>
    </xf>
    <xf numFmtId="0" fontId="5" fillId="0" borderId="0" xfId="0" applyFont="1" applyFill="1" applyAlignment="1">
      <alignment horizontal="left" wrapText="1"/>
    </xf>
    <xf numFmtId="0" fontId="117" fillId="0" borderId="0" xfId="3" applyFont="1" applyFill="1" applyAlignment="1">
      <alignment wrapText="1"/>
    </xf>
    <xf numFmtId="165" fontId="5" fillId="0" borderId="0" xfId="1" applyNumberFormat="1" applyFont="1" applyFill="1" applyAlignment="1">
      <alignment horizontal="left" wrapText="1"/>
    </xf>
    <xf numFmtId="0" fontId="5" fillId="0" borderId="0" xfId="0" applyFont="1" applyFill="1" applyAlignment="1">
      <alignment horizontal="left" vertical="top" wrapText="1"/>
    </xf>
    <xf numFmtId="0" fontId="121" fillId="0" borderId="0" xfId="0" applyFont="1" applyFill="1" applyAlignment="1">
      <alignment wrapText="1"/>
    </xf>
    <xf numFmtId="0" fontId="82" fillId="0" borderId="0" xfId="0" applyFont="1" applyFill="1" applyBorder="1" applyAlignment="1">
      <alignment wrapText="1"/>
    </xf>
    <xf numFmtId="0" fontId="111" fillId="0" borderId="0" xfId="0" applyFont="1" applyFill="1" applyBorder="1" applyAlignment="1">
      <alignment wrapText="1"/>
    </xf>
    <xf numFmtId="0" fontId="5" fillId="0" borderId="0" xfId="0" quotePrefix="1" applyFont="1" applyFill="1" applyBorder="1" applyAlignment="1">
      <alignment wrapText="1"/>
    </xf>
    <xf numFmtId="0" fontId="117" fillId="0" borderId="0" xfId="3" applyFont="1" applyFill="1" applyAlignment="1">
      <alignment vertical="center" wrapText="1"/>
    </xf>
    <xf numFmtId="2" fontId="5" fillId="0" borderId="0" xfId="136" applyNumberFormat="1" applyFont="1" applyFill="1" applyBorder="1" applyAlignment="1">
      <alignment wrapText="1"/>
    </xf>
    <xf numFmtId="0" fontId="106" fillId="105" borderId="210" xfId="0" applyFont="1" applyFill="1" applyBorder="1" applyAlignment="1">
      <alignment horizontal="right" wrapText="1"/>
    </xf>
    <xf numFmtId="0" fontId="109" fillId="103" borderId="41" xfId="0" applyFont="1" applyFill="1" applyBorder="1" applyAlignment="1">
      <alignment horizontal="right" wrapText="1"/>
    </xf>
    <xf numFmtId="9" fontId="108" fillId="103" borderId="41" xfId="0" applyNumberFormat="1" applyFont="1" applyFill="1" applyBorder="1" applyAlignment="1">
      <alignment horizontal="right" wrapText="1"/>
    </xf>
    <xf numFmtId="0" fontId="106" fillId="103" borderId="67" xfId="0" applyFont="1" applyFill="1" applyBorder="1" applyAlignment="1">
      <alignment horizontal="right" wrapText="1"/>
    </xf>
    <xf numFmtId="0" fontId="80" fillId="7" borderId="69" xfId="0" applyFont="1" applyFill="1" applyBorder="1" applyAlignment="1">
      <alignment horizontal="right" wrapText="1"/>
    </xf>
    <xf numFmtId="9" fontId="80" fillId="7" borderId="69" xfId="0" applyNumberFormat="1" applyFont="1" applyFill="1" applyBorder="1" applyAlignment="1">
      <alignment horizontal="right" wrapText="1"/>
    </xf>
    <xf numFmtId="0" fontId="80" fillId="67" borderId="69" xfId="0" applyFont="1" applyFill="1" applyBorder="1" applyAlignment="1">
      <alignment horizontal="right" wrapText="1"/>
    </xf>
    <xf numFmtId="0" fontId="80" fillId="67" borderId="54" xfId="0" applyFont="1" applyFill="1" applyBorder="1" applyAlignment="1">
      <alignment horizontal="right" wrapText="1"/>
    </xf>
    <xf numFmtId="0" fontId="80" fillId="67" borderId="61" xfId="0" applyFont="1" applyFill="1" applyBorder="1" applyAlignment="1">
      <alignment horizontal="right" wrapText="1"/>
    </xf>
    <xf numFmtId="0" fontId="80" fillId="7" borderId="44" xfId="0" applyFont="1" applyFill="1" applyBorder="1" applyAlignment="1">
      <alignment horizontal="right" wrapText="1"/>
    </xf>
    <xf numFmtId="0" fontId="106" fillId="105" borderId="153" xfId="0" applyFont="1" applyFill="1" applyBorder="1" applyAlignment="1">
      <alignment horizontal="right" wrapText="1"/>
    </xf>
    <xf numFmtId="0" fontId="109" fillId="103" borderId="7" xfId="0" applyFont="1" applyFill="1" applyBorder="1" applyAlignment="1">
      <alignment horizontal="right" wrapText="1"/>
    </xf>
    <xf numFmtId="9" fontId="108" fillId="103" borderId="7" xfId="0" applyNumberFormat="1" applyFont="1" applyFill="1" applyBorder="1" applyAlignment="1">
      <alignment horizontal="right" wrapText="1"/>
    </xf>
    <xf numFmtId="9" fontId="108" fillId="103" borderId="69" xfId="0" applyNumberFormat="1" applyFont="1" applyFill="1" applyBorder="1" applyAlignment="1">
      <alignment horizontal="right" wrapText="1"/>
    </xf>
    <xf numFmtId="9" fontId="106" fillId="103" borderId="57" xfId="289" applyFont="1" applyFill="1" applyBorder="1" applyAlignment="1">
      <alignment horizontal="right" wrapText="1"/>
    </xf>
    <xf numFmtId="9" fontId="0" fillId="101" borderId="44" xfId="0" applyNumberFormat="1" applyFill="1" applyBorder="1" applyAlignment="1">
      <alignment horizontal="right" wrapText="1"/>
    </xf>
    <xf numFmtId="9" fontId="0" fillId="7" borderId="69" xfId="0" applyNumberFormat="1" applyFill="1" applyBorder="1" applyAlignment="1">
      <alignment horizontal="right" wrapText="1"/>
    </xf>
    <xf numFmtId="9" fontId="5" fillId="7" borderId="172" xfId="0" applyNumberFormat="1" applyFont="1" applyFill="1" applyBorder="1" applyAlignment="1">
      <alignment horizontal="right" wrapText="1"/>
    </xf>
    <xf numFmtId="9" fontId="0" fillId="7" borderId="172" xfId="0" applyNumberFormat="1" applyFill="1" applyBorder="1" applyAlignment="1">
      <alignment horizontal="right" wrapText="1"/>
    </xf>
    <xf numFmtId="9" fontId="0" fillId="102" borderId="69" xfId="0" applyNumberFormat="1" applyFill="1" applyBorder="1" applyAlignment="1">
      <alignment horizontal="right" wrapText="1"/>
    </xf>
    <xf numFmtId="0" fontId="5" fillId="67" borderId="54" xfId="0" applyFont="1" applyFill="1" applyBorder="1" applyAlignment="1">
      <alignment horizontal="right" wrapText="1"/>
    </xf>
    <xf numFmtId="10" fontId="0" fillId="7" borderId="69" xfId="0" applyNumberFormat="1" applyFill="1" applyBorder="1" applyAlignment="1">
      <alignment horizontal="right" wrapText="1"/>
    </xf>
    <xf numFmtId="166" fontId="108" fillId="103" borderId="41" xfId="0" applyNumberFormat="1" applyFont="1" applyFill="1" applyBorder="1" applyAlignment="1">
      <alignment horizontal="right" wrapText="1"/>
    </xf>
    <xf numFmtId="0" fontId="0" fillId="0" borderId="0" xfId="0" applyAlignment="1">
      <alignment horizontal="right" wrapText="1"/>
    </xf>
    <xf numFmtId="0" fontId="2" fillId="2" borderId="39" xfId="0" applyFont="1" applyFill="1" applyBorder="1" applyAlignment="1">
      <alignment horizontal="right" wrapText="1"/>
    </xf>
    <xf numFmtId="9" fontId="0" fillId="101" borderId="160" xfId="0" applyNumberFormat="1" applyFill="1" applyBorder="1" applyAlignment="1">
      <alignment horizontal="right" wrapText="1"/>
    </xf>
    <xf numFmtId="17" fontId="0" fillId="7" borderId="41" xfId="0" applyNumberFormat="1" applyFill="1" applyBorder="1" applyAlignment="1">
      <alignment horizontal="right" wrapText="1"/>
    </xf>
    <xf numFmtId="17" fontId="0" fillId="67" borderId="160" xfId="0" applyNumberFormat="1" applyFill="1" applyBorder="1" applyAlignment="1">
      <alignment horizontal="right" wrapText="1"/>
    </xf>
    <xf numFmtId="0" fontId="0" fillId="67" borderId="160" xfId="0" applyFill="1" applyBorder="1" applyAlignment="1">
      <alignment horizontal="right" wrapText="1"/>
    </xf>
    <xf numFmtId="0" fontId="0" fillId="0" borderId="0" xfId="0" applyBorder="1" applyAlignment="1">
      <alignment horizontal="right" wrapText="1"/>
    </xf>
    <xf numFmtId="0" fontId="0" fillId="7" borderId="67" xfId="0" applyFill="1" applyBorder="1" applyAlignment="1">
      <alignment horizontal="right" wrapText="1"/>
    </xf>
    <xf numFmtId="0" fontId="2" fillId="2" borderId="8" xfId="0" applyFont="1" applyFill="1" applyBorder="1" applyAlignment="1">
      <alignment horizontal="right" wrapText="1"/>
    </xf>
    <xf numFmtId="10" fontId="5" fillId="7" borderId="41" xfId="0" applyNumberFormat="1" applyFont="1" applyFill="1" applyBorder="1" applyAlignment="1">
      <alignment horizontal="right" wrapText="1"/>
    </xf>
    <xf numFmtId="0" fontId="5" fillId="7" borderId="160" xfId="0" applyFont="1" applyFill="1" applyBorder="1" applyAlignment="1">
      <alignment horizontal="right" wrapText="1"/>
    </xf>
    <xf numFmtId="0" fontId="5" fillId="7" borderId="41" xfId="3" applyFont="1" applyFill="1" applyBorder="1" applyAlignment="1">
      <alignment horizontal="right" wrapText="1"/>
    </xf>
    <xf numFmtId="2" fontId="0" fillId="7" borderId="41" xfId="0" applyNumberFormat="1" applyFill="1" applyBorder="1" applyAlignment="1">
      <alignment horizontal="right" wrapText="1"/>
    </xf>
    <xf numFmtId="9" fontId="0" fillId="7" borderId="67" xfId="0" applyNumberFormat="1" applyFill="1" applyBorder="1" applyAlignment="1">
      <alignment horizontal="right" wrapText="1"/>
    </xf>
    <xf numFmtId="10" fontId="0" fillId="67" borderId="67" xfId="0" applyNumberFormat="1" applyFill="1" applyBorder="1" applyAlignment="1">
      <alignment horizontal="right" wrapText="1"/>
    </xf>
    <xf numFmtId="10" fontId="0" fillId="0" borderId="0" xfId="0" applyNumberFormat="1" applyFill="1" applyBorder="1" applyAlignment="1">
      <alignment horizontal="right" wrapText="1"/>
    </xf>
    <xf numFmtId="0" fontId="5" fillId="102" borderId="41" xfId="0" applyFont="1" applyFill="1" applyBorder="1" applyAlignment="1">
      <alignment horizontal="right" vertical="center" wrapText="1"/>
    </xf>
    <xf numFmtId="0" fontId="5" fillId="102" borderId="67" xfId="0" applyFont="1" applyFill="1" applyBorder="1" applyAlignment="1">
      <alignment horizontal="right" vertical="center" wrapText="1"/>
    </xf>
    <xf numFmtId="0" fontId="2" fillId="2" borderId="3" xfId="0" applyFont="1" applyFill="1" applyBorder="1" applyAlignment="1">
      <alignment horizontal="right" wrapText="1"/>
    </xf>
    <xf numFmtId="9" fontId="0" fillId="67" borderId="41" xfId="0" applyNumberFormat="1" applyFill="1" applyBorder="1" applyAlignment="1">
      <alignment horizontal="right" wrapText="1"/>
    </xf>
    <xf numFmtId="0" fontId="2" fillId="2" borderId="77" xfId="0" applyFont="1" applyFill="1" applyBorder="1" applyAlignment="1">
      <alignment horizontal="right" wrapText="1"/>
    </xf>
    <xf numFmtId="0" fontId="80" fillId="7" borderId="41" xfId="0" applyFont="1" applyFill="1" applyBorder="1" applyAlignment="1">
      <alignment horizontal="right" wrapText="1"/>
    </xf>
    <xf numFmtId="0" fontId="0" fillId="0" borderId="214" xfId="0" applyBorder="1" applyAlignment="1">
      <alignment horizontal="right" wrapText="1"/>
    </xf>
    <xf numFmtId="0" fontId="0" fillId="0" borderId="37" xfId="0" applyFont="1" applyBorder="1" applyAlignment="1">
      <alignment horizontal="right" wrapText="1"/>
    </xf>
    <xf numFmtId="0" fontId="0" fillId="104" borderId="37" xfId="0" applyFont="1" applyFill="1" applyBorder="1" applyAlignment="1">
      <alignment horizontal="right" wrapText="1"/>
    </xf>
    <xf numFmtId="0" fontId="0" fillId="104" borderId="219" xfId="0" applyFont="1" applyFill="1" applyBorder="1" applyAlignment="1">
      <alignment horizontal="right" wrapText="1"/>
    </xf>
    <xf numFmtId="0" fontId="2" fillId="2" borderId="10" xfId="0" applyFont="1" applyFill="1" applyBorder="1" applyAlignment="1">
      <alignment horizontal="right" wrapText="1"/>
    </xf>
    <xf numFmtId="0" fontId="0" fillId="101" borderId="150" xfId="0" applyFill="1" applyBorder="1" applyAlignment="1">
      <alignment horizontal="right"/>
    </xf>
    <xf numFmtId="0" fontId="0" fillId="101" borderId="44" xfId="0" applyFill="1" applyBorder="1" applyAlignment="1">
      <alignment horizontal="right"/>
    </xf>
    <xf numFmtId="0" fontId="0" fillId="101" borderId="43" xfId="0" applyFill="1" applyBorder="1" applyAlignment="1">
      <alignment horizontal="right"/>
    </xf>
    <xf numFmtId="0" fontId="0" fillId="7" borderId="0" xfId="0" applyFill="1" applyAlignment="1">
      <alignment horizontal="right"/>
    </xf>
    <xf numFmtId="17" fontId="0" fillId="7" borderId="69" xfId="0" applyNumberFormat="1" applyFill="1" applyBorder="1" applyAlignment="1">
      <alignment horizontal="right"/>
    </xf>
    <xf numFmtId="0" fontId="0" fillId="67" borderId="75" xfId="0" applyFill="1" applyBorder="1" applyAlignment="1">
      <alignment horizontal="right"/>
    </xf>
    <xf numFmtId="17" fontId="0" fillId="67" borderId="55" xfId="0" applyNumberFormat="1" applyFill="1" applyBorder="1" applyAlignment="1">
      <alignment horizontal="right"/>
    </xf>
    <xf numFmtId="0" fontId="0" fillId="67" borderId="148" xfId="0" applyFill="1" applyBorder="1" applyAlignment="1">
      <alignment horizontal="right"/>
    </xf>
    <xf numFmtId="0" fontId="0" fillId="67" borderId="55" xfId="0" applyFill="1" applyBorder="1" applyAlignment="1">
      <alignment horizontal="right"/>
    </xf>
    <xf numFmtId="0" fontId="0" fillId="67" borderId="61" xfId="0" applyFill="1" applyBorder="1" applyAlignment="1">
      <alignment horizontal="right"/>
    </xf>
    <xf numFmtId="0" fontId="0" fillId="67" borderId="63" xfId="0" applyFill="1" applyBorder="1" applyAlignment="1">
      <alignment horizontal="right"/>
    </xf>
    <xf numFmtId="0" fontId="0" fillId="0" borderId="0" xfId="0" applyBorder="1" applyAlignment="1">
      <alignment horizontal="right"/>
    </xf>
    <xf numFmtId="0" fontId="0" fillId="101" borderId="152" xfId="0" applyFill="1" applyBorder="1" applyAlignment="1">
      <alignment horizontal="right"/>
    </xf>
    <xf numFmtId="0" fontId="0" fillId="7" borderId="44" xfId="0" applyFill="1" applyBorder="1" applyAlignment="1">
      <alignment horizontal="right"/>
    </xf>
    <xf numFmtId="0" fontId="0" fillId="7" borderId="43" xfId="0" applyFill="1" applyBorder="1" applyAlignment="1">
      <alignment horizontal="right"/>
    </xf>
    <xf numFmtId="0" fontId="0" fillId="7" borderId="63" xfId="0" applyFill="1" applyBorder="1" applyAlignment="1">
      <alignment horizontal="right"/>
    </xf>
    <xf numFmtId="0" fontId="0" fillId="101" borderId="68" xfId="0" applyFill="1" applyBorder="1" applyAlignment="1">
      <alignment horizontal="right"/>
    </xf>
    <xf numFmtId="0" fontId="0" fillId="101" borderId="148" xfId="0" applyFill="1" applyBorder="1" applyAlignment="1">
      <alignment horizontal="right"/>
    </xf>
    <xf numFmtId="0" fontId="7" fillId="7" borderId="69" xfId="0" applyFont="1" applyFill="1" applyBorder="1" applyAlignment="1">
      <alignment horizontal="right"/>
    </xf>
    <xf numFmtId="0" fontId="0" fillId="7" borderId="60" xfId="0" applyFill="1" applyBorder="1" applyAlignment="1">
      <alignment horizontal="right"/>
    </xf>
    <xf numFmtId="0" fontId="0" fillId="7" borderId="68" xfId="0" applyFill="1" applyBorder="1" applyAlignment="1">
      <alignment horizontal="right"/>
    </xf>
    <xf numFmtId="0" fontId="0" fillId="7" borderId="172" xfId="0" applyFill="1" applyBorder="1" applyAlignment="1">
      <alignment horizontal="right"/>
    </xf>
    <xf numFmtId="0" fontId="0" fillId="102" borderId="69" xfId="0" applyFill="1" applyBorder="1" applyAlignment="1">
      <alignment horizontal="right"/>
    </xf>
    <xf numFmtId="0" fontId="0" fillId="102" borderId="148" xfId="0" applyFill="1" applyBorder="1" applyAlignment="1">
      <alignment horizontal="right"/>
    </xf>
    <xf numFmtId="0" fontId="5" fillId="67" borderId="55" xfId="0" applyFont="1" applyFill="1" applyBorder="1" applyAlignment="1">
      <alignment horizontal="right"/>
    </xf>
    <xf numFmtId="17" fontId="0" fillId="7" borderId="148" xfId="0" applyNumberFormat="1" applyFill="1" applyBorder="1" applyAlignment="1">
      <alignment horizontal="right"/>
    </xf>
    <xf numFmtId="0" fontId="0" fillId="7" borderId="55" xfId="0" applyFill="1" applyBorder="1" applyAlignment="1">
      <alignment horizontal="right"/>
    </xf>
    <xf numFmtId="0" fontId="0" fillId="67" borderId="75" xfId="0" applyFill="1" applyBorder="1" applyAlignment="1">
      <alignment horizontal="right" wrapText="1"/>
    </xf>
    <xf numFmtId="0" fontId="0" fillId="67" borderId="76" xfId="0" applyFill="1" applyBorder="1" applyAlignment="1">
      <alignment horizontal="right" wrapText="1"/>
    </xf>
    <xf numFmtId="0" fontId="0" fillId="7" borderId="61" xfId="0" applyFill="1" applyBorder="1" applyAlignment="1">
      <alignment horizontal="right" wrapText="1"/>
    </xf>
    <xf numFmtId="0" fontId="0" fillId="7" borderId="63" xfId="0" applyFill="1" applyBorder="1" applyAlignment="1">
      <alignment horizontal="right" wrapText="1"/>
    </xf>
    <xf numFmtId="1" fontId="0" fillId="7" borderId="69" xfId="0" applyNumberFormat="1" applyFill="1" applyBorder="1" applyAlignment="1">
      <alignment horizontal="right"/>
    </xf>
    <xf numFmtId="0" fontId="0" fillId="0" borderId="65" xfId="0" applyFill="1" applyBorder="1" applyAlignment="1">
      <alignment horizontal="right"/>
    </xf>
    <xf numFmtId="0" fontId="0" fillId="0" borderId="66" xfId="0" applyFill="1" applyBorder="1" applyAlignment="1">
      <alignment horizontal="right"/>
    </xf>
    <xf numFmtId="0" fontId="2" fillId="2" borderId="72" xfId="0" applyFont="1" applyFill="1" applyBorder="1" applyAlignment="1">
      <alignment horizontal="right" wrapText="1"/>
    </xf>
    <xf numFmtId="0" fontId="2" fillId="2" borderId="73" xfId="0" applyFont="1" applyFill="1" applyBorder="1" applyAlignment="1">
      <alignment horizontal="right" wrapText="1"/>
    </xf>
    <xf numFmtId="0" fontId="0" fillId="0" borderId="214" xfId="0" applyBorder="1" applyAlignment="1">
      <alignment horizontal="right"/>
    </xf>
    <xf numFmtId="0" fontId="0" fillId="0" borderId="37" xfId="0" applyFont="1" applyBorder="1" applyAlignment="1">
      <alignment horizontal="right"/>
    </xf>
    <xf numFmtId="0" fontId="0" fillId="104" borderId="37" xfId="0" applyFont="1" applyFill="1" applyBorder="1" applyAlignment="1">
      <alignment horizontal="right"/>
    </xf>
    <xf numFmtId="0" fontId="0" fillId="104" borderId="219" xfId="0" applyFont="1" applyFill="1" applyBorder="1" applyAlignment="1">
      <alignment horizontal="right"/>
    </xf>
    <xf numFmtId="9" fontId="0" fillId="101" borderId="153" xfId="0" applyNumberFormat="1" applyFill="1" applyBorder="1" applyAlignment="1">
      <alignment horizontal="right" wrapText="1"/>
    </xf>
    <xf numFmtId="9" fontId="0" fillId="7" borderId="61" xfId="0" applyNumberFormat="1" applyFill="1" applyBorder="1" applyAlignment="1">
      <alignment horizontal="right" wrapText="1"/>
    </xf>
    <xf numFmtId="9" fontId="0" fillId="101" borderId="151" xfId="0" applyNumberFormat="1" applyFill="1" applyBorder="1" applyAlignment="1">
      <alignment horizontal="right" wrapText="1"/>
    </xf>
    <xf numFmtId="0" fontId="0" fillId="7" borderId="60" xfId="0" applyFill="1" applyBorder="1" applyAlignment="1">
      <alignment horizontal="right" wrapText="1"/>
    </xf>
    <xf numFmtId="9" fontId="0" fillId="7" borderId="54" xfId="0" applyNumberFormat="1" applyFill="1" applyBorder="1" applyAlignment="1">
      <alignment horizontal="right" wrapText="1"/>
    </xf>
    <xf numFmtId="9" fontId="0" fillId="0" borderId="0" xfId="0" applyNumberFormat="1" applyBorder="1" applyAlignment="1">
      <alignment horizontal="right" wrapText="1"/>
    </xf>
    <xf numFmtId="9" fontId="0" fillId="102" borderId="7" xfId="0" applyNumberFormat="1" applyFill="1" applyBorder="1" applyAlignment="1">
      <alignment horizontal="right" wrapText="1"/>
    </xf>
    <xf numFmtId="166" fontId="0" fillId="102" borderId="7" xfId="0" applyNumberFormat="1" applyFill="1" applyBorder="1" applyAlignment="1">
      <alignment horizontal="right" wrapText="1"/>
    </xf>
    <xf numFmtId="0" fontId="80" fillId="7" borderId="69" xfId="0" applyFont="1" applyFill="1" applyBorder="1" applyAlignment="1">
      <alignment horizontal="right" vertical="center" wrapText="1"/>
    </xf>
    <xf numFmtId="0" fontId="0" fillId="7" borderId="0" xfId="0" applyFill="1" applyAlignment="1">
      <alignment horizontal="right" wrapText="1"/>
    </xf>
    <xf numFmtId="10" fontId="0" fillId="67" borderId="61" xfId="0" applyNumberFormat="1" applyFill="1" applyBorder="1" applyAlignment="1">
      <alignment horizontal="right" wrapText="1"/>
    </xf>
    <xf numFmtId="10" fontId="0" fillId="0" borderId="65" xfId="0" applyNumberFormat="1" applyFill="1" applyBorder="1" applyAlignment="1">
      <alignment horizontal="right" wrapText="1"/>
    </xf>
    <xf numFmtId="10" fontId="0" fillId="67" borderId="69" xfId="0" applyNumberFormat="1" applyFill="1" applyBorder="1" applyAlignment="1">
      <alignment horizontal="right" wrapText="1"/>
    </xf>
    <xf numFmtId="9" fontId="0" fillId="67" borderId="69" xfId="0" applyNumberFormat="1" applyFill="1" applyBorder="1" applyAlignment="1">
      <alignment horizontal="right" wrapText="1"/>
    </xf>
    <xf numFmtId="9" fontId="0" fillId="67" borderId="54" xfId="0" applyNumberFormat="1" applyFill="1" applyBorder="1" applyAlignment="1">
      <alignment horizontal="right" wrapText="1"/>
    </xf>
    <xf numFmtId="9" fontId="0" fillId="67" borderId="61" xfId="0" applyNumberFormat="1" applyFill="1" applyBorder="1" applyAlignment="1">
      <alignment horizontal="right" wrapText="1"/>
    </xf>
    <xf numFmtId="166" fontId="0" fillId="7" borderId="69" xfId="0" applyNumberFormat="1" applyFill="1" applyBorder="1" applyAlignment="1">
      <alignment horizontal="right" wrapText="1"/>
    </xf>
    <xf numFmtId="0" fontId="79" fillId="101" borderId="151" xfId="0" applyFont="1" applyFill="1" applyBorder="1" applyAlignment="1">
      <alignment horizontal="right" wrapText="1"/>
    </xf>
    <xf numFmtId="0" fontId="80" fillId="7" borderId="54" xfId="0" applyFont="1" applyFill="1" applyBorder="1" applyAlignment="1">
      <alignment horizontal="right" wrapText="1"/>
    </xf>
    <xf numFmtId="9" fontId="80" fillId="7" borderId="61" xfId="0" applyNumberFormat="1" applyFont="1" applyFill="1" applyBorder="1" applyAlignment="1">
      <alignment horizontal="right" wrapText="1"/>
    </xf>
    <xf numFmtId="0" fontId="0" fillId="0" borderId="214" xfId="0" applyFont="1" applyBorder="1" applyAlignment="1">
      <alignment horizontal="right" wrapText="1"/>
    </xf>
    <xf numFmtId="0" fontId="0" fillId="0" borderId="50" xfId="0" applyFont="1" applyBorder="1" applyAlignment="1">
      <alignment horizontal="right" wrapText="1"/>
    </xf>
    <xf numFmtId="0" fontId="0" fillId="104" borderId="50" xfId="0" applyFont="1" applyFill="1" applyBorder="1" applyAlignment="1">
      <alignment horizontal="right" wrapText="1"/>
    </xf>
    <xf numFmtId="0" fontId="0" fillId="104" borderId="220" xfId="0" applyFont="1" applyFill="1" applyBorder="1" applyAlignment="1">
      <alignment horizontal="right" wrapText="1"/>
    </xf>
    <xf numFmtId="0" fontId="126" fillId="101" borderId="0" xfId="3" quotePrefix="1" applyFont="1" applyFill="1" applyBorder="1" applyAlignment="1">
      <alignment wrapText="1"/>
    </xf>
    <xf numFmtId="0" fontId="107" fillId="7" borderId="7" xfId="3" quotePrefix="1" applyFont="1" applyFill="1" applyBorder="1" applyAlignment="1">
      <alignment wrapText="1"/>
    </xf>
    <xf numFmtId="0" fontId="107" fillId="67" borderId="75" xfId="3" quotePrefix="1" applyFont="1" applyFill="1" applyBorder="1" applyAlignment="1">
      <alignment wrapText="1"/>
    </xf>
    <xf numFmtId="0" fontId="107" fillId="102" borderId="7" xfId="3" quotePrefix="1" applyFont="1" applyFill="1" applyBorder="1" applyAlignment="1">
      <alignment wrapText="1"/>
    </xf>
    <xf numFmtId="0" fontId="107" fillId="7" borderId="44" xfId="3" quotePrefix="1" applyFont="1" applyFill="1" applyBorder="1" applyAlignment="1">
      <alignment wrapText="1"/>
    </xf>
    <xf numFmtId="0" fontId="107" fillId="7" borderId="57" xfId="3" quotePrefix="1" applyFont="1" applyFill="1" applyBorder="1" applyAlignment="1">
      <alignment wrapText="1"/>
    </xf>
    <xf numFmtId="0" fontId="107" fillId="101" borderId="208" xfId="3" applyFont="1" applyFill="1" applyBorder="1" applyAlignment="1">
      <alignment vertical="center"/>
    </xf>
    <xf numFmtId="0" fontId="107" fillId="7" borderId="69" xfId="3" applyFont="1" applyFill="1" applyBorder="1" applyAlignment="1">
      <alignment vertical="center"/>
    </xf>
    <xf numFmtId="0" fontId="107" fillId="7" borderId="69" xfId="3" applyFont="1" applyFill="1" applyBorder="1" applyAlignment="1">
      <alignment vertical="center" wrapText="1"/>
    </xf>
    <xf numFmtId="0" fontId="77" fillId="101" borderId="153" xfId="3" applyFont="1" applyFill="1" applyBorder="1"/>
    <xf numFmtId="0" fontId="0" fillId="101" borderId="230" xfId="0" applyFill="1" applyBorder="1"/>
    <xf numFmtId="0" fontId="0" fillId="101" borderId="230" xfId="0" applyFill="1" applyBorder="1" applyAlignment="1">
      <alignment horizontal="right" wrapText="1"/>
    </xf>
    <xf numFmtId="0" fontId="107" fillId="7" borderId="7" xfId="3" applyFont="1" applyFill="1" applyBorder="1" applyAlignment="1">
      <alignment wrapText="1"/>
    </xf>
    <xf numFmtId="0" fontId="112" fillId="7" borderId="57" xfId="0" applyFont="1" applyFill="1" applyBorder="1" applyAlignment="1">
      <alignment wrapText="1"/>
    </xf>
    <xf numFmtId="0" fontId="107" fillId="101" borderId="151" xfId="3" applyFont="1" applyFill="1" applyBorder="1" applyAlignment="1">
      <alignment wrapText="1"/>
    </xf>
    <xf numFmtId="0" fontId="107" fillId="7" borderId="44" xfId="3" applyFont="1" applyFill="1" applyBorder="1" applyAlignment="1">
      <alignment wrapText="1"/>
    </xf>
    <xf numFmtId="0" fontId="107" fillId="67" borderId="7" xfId="3" applyFont="1" applyFill="1" applyBorder="1" applyAlignment="1">
      <alignment wrapText="1"/>
    </xf>
    <xf numFmtId="0" fontId="107" fillId="67" borderId="57" xfId="3" applyFont="1" applyFill="1" applyBorder="1" applyAlignment="1">
      <alignment wrapText="1"/>
    </xf>
    <xf numFmtId="0" fontId="2" fillId="7" borderId="0" xfId="0" applyFont="1" applyFill="1" applyBorder="1" applyAlignment="1">
      <alignment wrapText="1"/>
    </xf>
    <xf numFmtId="0" fontId="2" fillId="7" borderId="0" xfId="0" applyFont="1" applyFill="1" applyBorder="1"/>
    <xf numFmtId="0" fontId="2" fillId="7" borderId="0" xfId="0" applyFont="1" applyFill="1" applyBorder="1" applyAlignment="1">
      <alignment horizontal="right" wrapText="1"/>
    </xf>
    <xf numFmtId="0" fontId="2" fillId="7" borderId="0" xfId="0" applyFont="1" applyFill="1" applyAlignment="1">
      <alignment vertical="center" wrapText="1"/>
    </xf>
    <xf numFmtId="0" fontId="123" fillId="7" borderId="0" xfId="0" applyFont="1" applyFill="1"/>
    <xf numFmtId="0" fontId="2" fillId="0" borderId="0" xfId="0" applyFont="1" applyAlignment="1">
      <alignment wrapText="1"/>
    </xf>
    <xf numFmtId="0" fontId="5" fillId="0" borderId="0" xfId="0" applyNumberFormat="1" applyFont="1" applyFill="1"/>
    <xf numFmtId="2" fontId="5" fillId="0" borderId="0" xfId="0" applyNumberFormat="1" applyFont="1" applyFill="1"/>
    <xf numFmtId="2" fontId="5" fillId="0" borderId="0" xfId="0" applyNumberFormat="1" applyFont="1" applyFill="1" applyAlignment="1">
      <alignment horizontal="left"/>
    </xf>
    <xf numFmtId="0" fontId="4" fillId="0" borderId="12" xfId="136" applyBorder="1"/>
    <xf numFmtId="0" fontId="4" fillId="0" borderId="222" xfId="136" applyFont="1" applyBorder="1"/>
    <xf numFmtId="0" fontId="4" fillId="0" borderId="6" xfId="136" applyFont="1" applyBorder="1"/>
    <xf numFmtId="1" fontId="4" fillId="0" borderId="6" xfId="136" applyNumberFormat="1" applyBorder="1"/>
    <xf numFmtId="2" fontId="4" fillId="0" borderId="6" xfId="136" applyNumberFormat="1" applyBorder="1"/>
    <xf numFmtId="0" fontId="0" fillId="104" borderId="231" xfId="0" applyFont="1" applyFill="1" applyBorder="1"/>
    <xf numFmtId="172" fontId="0" fillId="104" borderId="37" xfId="0" applyNumberFormat="1" applyFont="1" applyFill="1" applyBorder="1"/>
    <xf numFmtId="1" fontId="0" fillId="104" borderId="37" xfId="0" applyNumberFormat="1" applyFont="1" applyFill="1" applyBorder="1" applyAlignment="1">
      <alignment horizontal="right"/>
    </xf>
    <xf numFmtId="0" fontId="5" fillId="104" borderId="37" xfId="0" applyFont="1" applyFill="1" applyBorder="1"/>
    <xf numFmtId="0" fontId="73" fillId="104" borderId="37" xfId="0" applyFont="1" applyFill="1" applyBorder="1"/>
    <xf numFmtId="9" fontId="0" fillId="104" borderId="37" xfId="289" applyNumberFormat="1" applyFont="1" applyFill="1" applyBorder="1"/>
    <xf numFmtId="172" fontId="0" fillId="3" borderId="37" xfId="0" applyNumberFormat="1" applyFont="1" applyFill="1" applyBorder="1"/>
    <xf numFmtId="166" fontId="0" fillId="104" borderId="37" xfId="289" applyNumberFormat="1" applyFont="1" applyFill="1" applyBorder="1" applyAlignment="1">
      <alignment horizontal="right"/>
    </xf>
    <xf numFmtId="0" fontId="5" fillId="5" borderId="0" xfId="0" applyFont="1" applyFill="1" applyAlignment="1">
      <alignment horizontal="center" vertical="center" wrapText="1"/>
    </xf>
    <xf numFmtId="0" fontId="2" fillId="104" borderId="37" xfId="0" applyFont="1" applyFill="1" applyBorder="1" applyAlignment="1"/>
    <xf numFmtId="0" fontId="0" fillId="3" borderId="37" xfId="0" applyFont="1" applyFill="1" applyBorder="1"/>
    <xf numFmtId="165" fontId="0" fillId="3" borderId="37" xfId="1" applyNumberFormat="1" applyFont="1" applyFill="1" applyBorder="1"/>
    <xf numFmtId="1" fontId="0" fillId="3" borderId="37" xfId="0" applyNumberFormat="1" applyFont="1" applyFill="1" applyBorder="1"/>
    <xf numFmtId="0" fontId="5" fillId="104" borderId="37" xfId="0" applyFont="1" applyFill="1" applyBorder="1" applyAlignment="1"/>
    <xf numFmtId="0" fontId="72" fillId="110" borderId="0" xfId="0" applyFont="1" applyFill="1"/>
    <xf numFmtId="0" fontId="0" fillId="110" borderId="0" xfId="0" applyFill="1"/>
    <xf numFmtId="0" fontId="5" fillId="110" borderId="0" xfId="0" applyFont="1" applyFill="1"/>
    <xf numFmtId="9" fontId="5" fillId="0" borderId="0" xfId="289" applyFont="1"/>
    <xf numFmtId="1" fontId="5" fillId="0" borderId="0" xfId="289" applyNumberFormat="1" applyFont="1"/>
    <xf numFmtId="1" fontId="5" fillId="0" borderId="0" xfId="289" applyNumberFormat="1" applyFont="1" applyFill="1"/>
    <xf numFmtId="0" fontId="5" fillId="0" borderId="0" xfId="289" applyNumberFormat="1" applyFont="1"/>
    <xf numFmtId="0" fontId="86" fillId="100" borderId="232" xfId="0" applyFont="1" applyFill="1" applyBorder="1" applyAlignment="1">
      <alignment horizontal="center" vertical="center" wrapText="1"/>
    </xf>
    <xf numFmtId="0" fontId="86" fillId="100" borderId="233" xfId="0" applyFont="1" applyFill="1" applyBorder="1" applyAlignment="1">
      <alignment horizontal="center" vertical="center" wrapText="1"/>
    </xf>
    <xf numFmtId="0" fontId="129" fillId="5" borderId="233" xfId="0" applyFont="1" applyFill="1" applyBorder="1" applyAlignment="1">
      <alignment horizontal="center" vertical="center" wrapText="1"/>
    </xf>
    <xf numFmtId="0" fontId="82" fillId="5" borderId="233" xfId="0" applyFont="1" applyFill="1" applyBorder="1" applyAlignment="1">
      <alignment horizontal="center" vertical="center" wrapText="1"/>
    </xf>
    <xf numFmtId="0" fontId="127" fillId="100" borderId="232" xfId="0" applyFont="1" applyFill="1" applyBorder="1" applyAlignment="1">
      <alignment horizontal="center" vertical="center" wrapText="1"/>
    </xf>
    <xf numFmtId="0" fontId="0" fillId="68" borderId="232" xfId="0" applyFont="1" applyFill="1" applyBorder="1" applyAlignment="1">
      <alignment wrapText="1"/>
    </xf>
    <xf numFmtId="0" fontId="2" fillId="68" borderId="233" xfId="0" applyFont="1" applyFill="1" applyBorder="1"/>
    <xf numFmtId="0" fontId="0" fillId="68" borderId="233" xfId="0" applyFont="1" applyFill="1" applyBorder="1" applyAlignment="1"/>
    <xf numFmtId="0" fontId="0" fillId="68" borderId="233" xfId="0" applyFont="1" applyFill="1" applyBorder="1" applyAlignment="1">
      <alignment wrapText="1"/>
    </xf>
    <xf numFmtId="172" fontId="0" fillId="68" borderId="233" xfId="0" applyNumberFormat="1" applyFont="1" applyFill="1" applyBorder="1"/>
    <xf numFmtId="1" fontId="0" fillId="68" borderId="233" xfId="0" applyNumberFormat="1" applyFont="1" applyFill="1" applyBorder="1" applyAlignment="1">
      <alignment wrapText="1"/>
    </xf>
    <xf numFmtId="0" fontId="5" fillId="68" borderId="233" xfId="0" applyFont="1" applyFill="1" applyBorder="1" applyAlignment="1">
      <alignment wrapText="1"/>
    </xf>
    <xf numFmtId="9" fontId="0" fillId="68" borderId="233" xfId="0" applyNumberFormat="1" applyFont="1" applyFill="1" applyBorder="1" applyAlignment="1">
      <alignment wrapText="1"/>
    </xf>
    <xf numFmtId="172" fontId="0" fillId="68" borderId="233" xfId="0" applyNumberFormat="1" applyFont="1" applyFill="1" applyBorder="1" applyAlignment="1">
      <alignment wrapText="1"/>
    </xf>
    <xf numFmtId="172" fontId="0" fillId="68" borderId="233" xfId="0" applyNumberFormat="1" applyFont="1" applyFill="1" applyBorder="1" applyAlignment="1">
      <alignment horizontal="right" wrapText="1"/>
    </xf>
    <xf numFmtId="0" fontId="73" fillId="68" borderId="232" xfId="0" applyFont="1" applyFill="1" applyBorder="1"/>
    <xf numFmtId="0" fontId="0" fillId="0" borderId="232" xfId="0" applyFont="1" applyBorder="1"/>
    <xf numFmtId="0" fontId="0" fillId="0" borderId="233" xfId="0" applyFont="1" applyBorder="1"/>
    <xf numFmtId="0" fontId="0" fillId="0" borderId="233" xfId="0" applyFont="1" applyBorder="1" applyAlignment="1"/>
    <xf numFmtId="172" fontId="0" fillId="0" borderId="233" xfId="0" applyNumberFormat="1" applyFont="1" applyBorder="1"/>
    <xf numFmtId="165" fontId="0" fillId="0" borderId="233" xfId="1" applyNumberFormat="1" applyFont="1" applyBorder="1"/>
    <xf numFmtId="166" fontId="0" fillId="0" borderId="233" xfId="289" applyNumberFormat="1" applyFont="1" applyBorder="1" applyAlignment="1">
      <alignment horizontal="right"/>
    </xf>
    <xf numFmtId="0" fontId="5" fillId="0" borderId="233" xfId="0" applyFont="1" applyBorder="1"/>
    <xf numFmtId="9" fontId="0" fillId="0" borderId="233" xfId="289" applyNumberFormat="1" applyFont="1" applyBorder="1"/>
    <xf numFmtId="172" fontId="0" fillId="2" borderId="233" xfId="0" applyNumberFormat="1" applyFont="1" applyFill="1" applyBorder="1"/>
    <xf numFmtId="172" fontId="0" fillId="0" borderId="233" xfId="0" applyNumberFormat="1" applyFont="1" applyBorder="1" applyAlignment="1">
      <alignment horizontal="right"/>
    </xf>
    <xf numFmtId="0" fontId="0" fillId="104" borderId="232" xfId="0" applyFont="1" applyFill="1" applyBorder="1"/>
    <xf numFmtId="0" fontId="0" fillId="104" borderId="233" xfId="0" applyFont="1" applyFill="1" applyBorder="1"/>
    <xf numFmtId="0" fontId="0" fillId="6" borderId="233" xfId="0" applyFont="1" applyFill="1" applyBorder="1" applyAlignment="1"/>
    <xf numFmtId="0" fontId="5" fillId="104" borderId="233" xfId="0" applyFont="1" applyFill="1" applyBorder="1"/>
    <xf numFmtId="172" fontId="5" fillId="3" borderId="233" xfId="0" applyNumberFormat="1" applyFont="1" applyFill="1" applyBorder="1"/>
    <xf numFmtId="165" fontId="5" fillId="3" borderId="233" xfId="1" applyNumberFormat="1" applyFont="1" applyFill="1" applyBorder="1"/>
    <xf numFmtId="0" fontId="0" fillId="3" borderId="233" xfId="0" applyFont="1" applyFill="1" applyBorder="1"/>
    <xf numFmtId="165" fontId="0" fillId="104" borderId="233" xfId="1" applyNumberFormat="1" applyFont="1" applyFill="1" applyBorder="1"/>
    <xf numFmtId="172" fontId="0" fillId="3" borderId="233" xfId="0" applyNumberFormat="1" applyFont="1" applyFill="1" applyBorder="1"/>
    <xf numFmtId="165" fontId="0" fillId="3" borderId="233" xfId="1" applyNumberFormat="1" applyFont="1" applyFill="1" applyBorder="1"/>
    <xf numFmtId="166" fontId="0" fillId="104" borderId="233" xfId="289" applyNumberFormat="1" applyFont="1" applyFill="1" applyBorder="1" applyAlignment="1">
      <alignment horizontal="right"/>
    </xf>
    <xf numFmtId="9" fontId="0" fillId="104" borderId="233" xfId="289" applyNumberFormat="1" applyFont="1" applyFill="1" applyBorder="1"/>
    <xf numFmtId="172" fontId="0" fillId="104" borderId="233" xfId="0" applyNumberFormat="1" applyFont="1" applyFill="1" applyBorder="1"/>
    <xf numFmtId="1" fontId="0" fillId="3" borderId="233" xfId="0" applyNumberFormat="1" applyFont="1" applyFill="1" applyBorder="1" applyAlignment="1">
      <alignment horizontal="right"/>
    </xf>
    <xf numFmtId="9" fontId="0" fillId="3" borderId="233" xfId="289" applyNumberFormat="1" applyFont="1" applyFill="1" applyBorder="1" applyAlignment="1">
      <alignment horizontal="right"/>
    </xf>
    <xf numFmtId="1" fontId="0" fillId="0" borderId="233" xfId="0" applyNumberFormat="1" applyFont="1" applyBorder="1" applyAlignment="1">
      <alignment horizontal="right"/>
    </xf>
    <xf numFmtId="0" fontId="0" fillId="104" borderId="233" xfId="0" applyFont="1" applyFill="1" applyBorder="1" applyAlignment="1"/>
    <xf numFmtId="1" fontId="0" fillId="104" borderId="233" xfId="0" applyNumberFormat="1" applyFont="1" applyFill="1" applyBorder="1" applyAlignment="1">
      <alignment horizontal="right"/>
    </xf>
    <xf numFmtId="0" fontId="73" fillId="0" borderId="233" xfId="0" applyFont="1" applyBorder="1"/>
    <xf numFmtId="0" fontId="0" fillId="68" borderId="232" xfId="0" applyFont="1" applyFill="1" applyBorder="1"/>
    <xf numFmtId="0" fontId="0" fillId="68" borderId="233" xfId="0" applyFont="1" applyFill="1" applyBorder="1"/>
    <xf numFmtId="165" fontId="0" fillId="68" borderId="233" xfId="1" applyNumberFormat="1" applyFont="1" applyFill="1" applyBorder="1"/>
    <xf numFmtId="166" fontId="0" fillId="68" borderId="233" xfId="289" applyNumberFormat="1" applyFont="1" applyFill="1" applyBorder="1" applyAlignment="1">
      <alignment horizontal="right"/>
    </xf>
    <xf numFmtId="0" fontId="5" fillId="68" borderId="233" xfId="0" applyFont="1" applyFill="1" applyBorder="1"/>
    <xf numFmtId="9" fontId="0" fillId="68" borderId="233" xfId="289" applyNumberFormat="1" applyFont="1" applyFill="1" applyBorder="1"/>
    <xf numFmtId="1" fontId="0" fillId="68" borderId="233" xfId="0" applyNumberFormat="1" applyFont="1" applyFill="1" applyBorder="1" applyAlignment="1">
      <alignment horizontal="right"/>
    </xf>
    <xf numFmtId="172" fontId="0" fillId="68" borderId="233" xfId="0" applyNumberFormat="1" applyFont="1" applyFill="1" applyBorder="1" applyAlignment="1">
      <alignment horizontal="right"/>
    </xf>
    <xf numFmtId="0" fontId="73" fillId="68" borderId="233" xfId="0" applyFont="1" applyFill="1" applyBorder="1"/>
    <xf numFmtId="0" fontId="0" fillId="2" borderId="233" xfId="0" applyFont="1" applyFill="1" applyBorder="1"/>
    <xf numFmtId="0" fontId="5" fillId="2" borderId="233" xfId="0" applyFont="1" applyFill="1" applyBorder="1"/>
    <xf numFmtId="1" fontId="5" fillId="2" borderId="233" xfId="0" applyNumberFormat="1" applyFont="1" applyFill="1" applyBorder="1"/>
    <xf numFmtId="172" fontId="5" fillId="2" borderId="233" xfId="0" applyNumberFormat="1" applyFont="1" applyFill="1" applyBorder="1"/>
    <xf numFmtId="165" fontId="0" fillId="2" borderId="233" xfId="1" applyNumberFormat="1" applyFont="1" applyFill="1" applyBorder="1"/>
    <xf numFmtId="1" fontId="0" fillId="2" borderId="233" xfId="0" applyNumberFormat="1" applyFont="1" applyFill="1" applyBorder="1" applyAlignment="1">
      <alignment horizontal="right"/>
    </xf>
    <xf numFmtId="1" fontId="0" fillId="2" borderId="233" xfId="0" applyNumberFormat="1" applyFont="1" applyFill="1" applyBorder="1"/>
    <xf numFmtId="9" fontId="0" fillId="2" borderId="233" xfId="289" applyNumberFormat="1" applyFont="1" applyFill="1" applyBorder="1" applyAlignment="1">
      <alignment horizontal="right"/>
    </xf>
    <xf numFmtId="172" fontId="5" fillId="3" borderId="233" xfId="0" applyNumberFormat="1" applyFont="1" applyFill="1" applyBorder="1" applyAlignment="1">
      <alignment horizontal="right"/>
    </xf>
    <xf numFmtId="9" fontId="5" fillId="0" borderId="233" xfId="289" applyNumberFormat="1" applyFont="1" applyBorder="1"/>
    <xf numFmtId="165" fontId="0" fillId="68" borderId="233" xfId="1" applyNumberFormat="1" applyFont="1" applyFill="1" applyBorder="1" applyAlignment="1">
      <alignment horizontal="right"/>
    </xf>
    <xf numFmtId="172" fontId="5" fillId="2" borderId="233" xfId="0" applyNumberFormat="1" applyFont="1" applyFill="1" applyBorder="1" applyAlignment="1">
      <alignment horizontal="right"/>
    </xf>
    <xf numFmtId="0" fontId="0" fillId="2" borderId="233" xfId="0" applyFont="1" applyFill="1" applyBorder="1" applyAlignment="1">
      <alignment horizontal="right"/>
    </xf>
    <xf numFmtId="165" fontId="0" fillId="2" borderId="233" xfId="1" applyNumberFormat="1" applyFont="1" applyFill="1" applyBorder="1" applyAlignment="1">
      <alignment horizontal="right"/>
    </xf>
    <xf numFmtId="1" fontId="0" fillId="3" borderId="233" xfId="0" applyNumberFormat="1" applyFont="1" applyFill="1" applyBorder="1"/>
    <xf numFmtId="1" fontId="5" fillId="3" borderId="233" xfId="0" applyNumberFormat="1" applyFont="1" applyFill="1" applyBorder="1" applyAlignment="1">
      <alignment horizontal="right"/>
    </xf>
    <xf numFmtId="0" fontId="81" fillId="3" borderId="233" xfId="0" applyFont="1" applyFill="1" applyBorder="1"/>
    <xf numFmtId="9" fontId="5" fillId="104" borderId="233" xfId="289" applyNumberFormat="1" applyFont="1" applyFill="1" applyBorder="1"/>
    <xf numFmtId="1" fontId="5" fillId="3" borderId="233" xfId="0" applyNumberFormat="1" applyFont="1" applyFill="1" applyBorder="1"/>
    <xf numFmtId="9" fontId="5" fillId="3" borderId="233" xfId="289" applyNumberFormat="1" applyFont="1" applyFill="1" applyBorder="1" applyAlignment="1">
      <alignment horizontal="right"/>
    </xf>
    <xf numFmtId="1" fontId="0" fillId="0" borderId="233" xfId="0" applyNumberFormat="1" applyFont="1" applyBorder="1"/>
    <xf numFmtId="10" fontId="0" fillId="0" borderId="233" xfId="0" applyNumberFormat="1" applyFont="1" applyBorder="1"/>
    <xf numFmtId="9" fontId="82" fillId="0" borderId="233" xfId="289" applyNumberFormat="1" applyFont="1" applyBorder="1" applyAlignment="1">
      <alignment horizontal="right"/>
    </xf>
    <xf numFmtId="9" fontId="0" fillId="104" borderId="233" xfId="0" applyNumberFormat="1" applyFont="1" applyFill="1" applyBorder="1"/>
    <xf numFmtId="9" fontId="0" fillId="104" borderId="233" xfId="0" applyNumberFormat="1" applyFont="1" applyFill="1" applyBorder="1" applyAlignment="1">
      <alignment horizontal="left"/>
    </xf>
    <xf numFmtId="1" fontId="0" fillId="104" borderId="233" xfId="0" applyNumberFormat="1" applyFont="1" applyFill="1" applyBorder="1"/>
    <xf numFmtId="0" fontId="73" fillId="104" borderId="233" xfId="0" applyFont="1" applyFill="1" applyBorder="1"/>
    <xf numFmtId="0" fontId="3" fillId="0" borderId="233" xfId="0" applyFont="1" applyBorder="1"/>
    <xf numFmtId="0" fontId="3" fillId="104" borderId="233" xfId="0" applyFont="1" applyFill="1" applyBorder="1"/>
    <xf numFmtId="165" fontId="3" fillId="2" borderId="233" xfId="1" applyNumberFormat="1" applyFont="1" applyFill="1" applyBorder="1"/>
    <xf numFmtId="172" fontId="0" fillId="69" borderId="233" xfId="0" applyNumberFormat="1" applyFont="1" applyFill="1" applyBorder="1"/>
    <xf numFmtId="9" fontId="83" fillId="0" borderId="233" xfId="289" applyNumberFormat="1" applyFont="1" applyBorder="1" applyAlignment="1">
      <alignment horizontal="right"/>
    </xf>
    <xf numFmtId="9" fontId="0" fillId="0" borderId="233" xfId="0" applyNumberFormat="1" applyFont="1" applyBorder="1"/>
    <xf numFmtId="0" fontId="5" fillId="3" borderId="233" xfId="0" applyFont="1" applyFill="1" applyBorder="1"/>
    <xf numFmtId="0" fontId="5" fillId="104" borderId="233" xfId="0" applyFont="1" applyFill="1" applyBorder="1" applyAlignment="1"/>
    <xf numFmtId="1" fontId="0" fillId="2" borderId="233" xfId="0" applyNumberFormat="1" applyFont="1" applyFill="1" applyBorder="1" applyAlignment="1">
      <alignment horizontal="center"/>
    </xf>
    <xf numFmtId="172" fontId="0" fillId="0" borderId="233" xfId="0" applyNumberFormat="1" applyFont="1" applyBorder="1" applyAlignment="1">
      <alignment wrapText="1"/>
    </xf>
    <xf numFmtId="0" fontId="73" fillId="0" borderId="233" xfId="0" applyFont="1" applyBorder="1" applyAlignment="1"/>
    <xf numFmtId="9" fontId="83" fillId="104" borderId="233" xfId="289" applyNumberFormat="1" applyFont="1" applyFill="1" applyBorder="1" applyAlignment="1">
      <alignment horizontal="right"/>
    </xf>
    <xf numFmtId="165" fontId="0" fillId="3" borderId="233" xfId="1" applyNumberFormat="1" applyFont="1" applyFill="1" applyBorder="1" applyAlignment="1">
      <alignment horizontal="right"/>
    </xf>
    <xf numFmtId="0" fontId="5" fillId="104" borderId="233" xfId="0" applyFont="1" applyFill="1" applyBorder="1" applyAlignment="1">
      <alignment horizontal="right"/>
    </xf>
    <xf numFmtId="0" fontId="82" fillId="100" borderId="50" xfId="0" applyFont="1" applyFill="1" applyBorder="1" applyAlignment="1">
      <alignment wrapText="1"/>
    </xf>
    <xf numFmtId="0" fontId="5" fillId="4" borderId="0" xfId="0" applyFont="1" applyFill="1"/>
    <xf numFmtId="0" fontId="5" fillId="0" borderId="0" xfId="0" applyFont="1" applyFill="1" applyAlignment="1"/>
    <xf numFmtId="0" fontId="5" fillId="4" borderId="0" xfId="0" applyFont="1" applyFill="1" applyAlignment="1">
      <alignment wrapText="1"/>
    </xf>
    <xf numFmtId="0" fontId="82" fillId="0" borderId="0" xfId="0" applyFont="1" applyAlignment="1"/>
    <xf numFmtId="0" fontId="82" fillId="0" borderId="0" xfId="0" applyFont="1" applyFill="1" applyAlignment="1"/>
    <xf numFmtId="0" fontId="111" fillId="0" borderId="0" xfId="0" applyFont="1"/>
    <xf numFmtId="0" fontId="111" fillId="0" borderId="0" xfId="0" applyFont="1" applyFill="1" applyAlignment="1"/>
    <xf numFmtId="0" fontId="129" fillId="0" borderId="0" xfId="0" applyFont="1" applyFill="1" applyAlignment="1"/>
    <xf numFmtId="0" fontId="5" fillId="104" borderId="231" xfId="0" applyFont="1" applyFill="1" applyBorder="1"/>
    <xf numFmtId="0" fontId="118" fillId="104" borderId="50" xfId="0" applyFont="1" applyFill="1" applyBorder="1" applyAlignment="1">
      <alignment wrapText="1"/>
    </xf>
    <xf numFmtId="165" fontId="0" fillId="0" borderId="233" xfId="0" applyNumberFormat="1" applyFont="1" applyBorder="1"/>
    <xf numFmtId="165" fontId="0" fillId="3" borderId="233" xfId="289" applyNumberFormat="1" applyFont="1" applyFill="1" applyBorder="1" applyAlignment="1">
      <alignment horizontal="right"/>
    </xf>
    <xf numFmtId="165" fontId="0" fillId="2" borderId="233" xfId="289" applyNumberFormat="1" applyFont="1" applyFill="1" applyBorder="1" applyAlignment="1">
      <alignment horizontal="right"/>
    </xf>
    <xf numFmtId="165" fontId="5" fillId="3" borderId="233" xfId="289" applyNumberFormat="1" applyFont="1" applyFill="1" applyBorder="1" applyAlignment="1">
      <alignment horizontal="right"/>
    </xf>
    <xf numFmtId="0" fontId="78" fillId="0" borderId="0" xfId="0" applyFont="1"/>
    <xf numFmtId="0" fontId="2" fillId="0" borderId="0" xfId="0" applyFont="1" applyAlignment="1">
      <alignment horizontal="center"/>
    </xf>
    <xf numFmtId="166" fontId="0" fillId="0" borderId="0" xfId="0" applyNumberFormat="1"/>
    <xf numFmtId="165" fontId="0" fillId="0" borderId="0" xfId="0" applyNumberFormat="1"/>
    <xf numFmtId="0" fontId="0" fillId="0" borderId="0" xfId="0" applyFont="1" applyAlignment="1">
      <alignment horizontal="center"/>
    </xf>
    <xf numFmtId="2" fontId="2" fillId="0" borderId="0" xfId="0" applyNumberFormat="1" applyFont="1"/>
    <xf numFmtId="190" fontId="0" fillId="0" borderId="0" xfId="1" applyNumberFormat="1" applyFont="1"/>
    <xf numFmtId="191" fontId="0" fillId="0" borderId="0" xfId="0" applyNumberFormat="1"/>
    <xf numFmtId="191" fontId="0" fillId="0" borderId="0" xfId="1" applyNumberFormat="1" applyFont="1"/>
    <xf numFmtId="192" fontId="0" fillId="0" borderId="0" xfId="0" applyNumberFormat="1"/>
    <xf numFmtId="3" fontId="0" fillId="0" borderId="0" xfId="0" applyNumberFormat="1"/>
    <xf numFmtId="193" fontId="0" fillId="0" borderId="0" xfId="0" applyNumberFormat="1"/>
    <xf numFmtId="164" fontId="0" fillId="0" borderId="0" xfId="0" applyNumberFormat="1"/>
    <xf numFmtId="0" fontId="133" fillId="111" borderId="234" xfId="0" applyFont="1" applyFill="1" applyBorder="1" applyAlignment="1">
      <alignment horizontal="left" vertical="center" indent="5"/>
    </xf>
    <xf numFmtId="0" fontId="133" fillId="111" borderId="235" xfId="0" applyFont="1" applyFill="1" applyBorder="1" applyAlignment="1">
      <alignment horizontal="left" vertical="center" indent="5"/>
    </xf>
    <xf numFmtId="0" fontId="106" fillId="111" borderId="236" xfId="0" applyFont="1" applyFill="1" applyBorder="1" applyAlignment="1">
      <alignment horizontal="left" vertical="center" indent="5"/>
    </xf>
    <xf numFmtId="0" fontId="106" fillId="111" borderId="237" xfId="0" applyFont="1" applyFill="1" applyBorder="1" applyAlignment="1">
      <alignment horizontal="right" vertical="center" indent="5"/>
    </xf>
    <xf numFmtId="0" fontId="106" fillId="111" borderId="237" xfId="0" applyFont="1" applyFill="1" applyBorder="1" applyAlignment="1">
      <alignment horizontal="left" vertical="center" indent="5"/>
    </xf>
    <xf numFmtId="0" fontId="133" fillId="111" borderId="236" xfId="0" applyFont="1" applyFill="1" applyBorder="1" applyAlignment="1">
      <alignment horizontal="left" vertical="center" indent="5"/>
    </xf>
    <xf numFmtId="0" fontId="133" fillId="111" borderId="237" xfId="0" applyFont="1" applyFill="1" applyBorder="1" applyAlignment="1">
      <alignment horizontal="right" vertical="center" indent="5"/>
    </xf>
    <xf numFmtId="0" fontId="133" fillId="111" borderId="237" xfId="0" applyFont="1" applyFill="1" applyBorder="1" applyAlignment="1">
      <alignment horizontal="left" vertical="center" indent="5"/>
    </xf>
    <xf numFmtId="0" fontId="15" fillId="0" borderId="0" xfId="694" applyFont="1"/>
    <xf numFmtId="1" fontId="15" fillId="0" borderId="0" xfId="694" applyNumberFormat="1" applyFont="1"/>
    <xf numFmtId="0" fontId="15" fillId="0" borderId="0" xfId="694"/>
    <xf numFmtId="1" fontId="15" fillId="0" borderId="38" xfId="694" applyNumberFormat="1" applyBorder="1"/>
    <xf numFmtId="1" fontId="15" fillId="0" borderId="10" xfId="694" applyNumberFormat="1" applyBorder="1"/>
    <xf numFmtId="9" fontId="15" fillId="0" borderId="10" xfId="289" applyFont="1" applyBorder="1"/>
    <xf numFmtId="9" fontId="15" fillId="0" borderId="39" xfId="289" applyFont="1" applyBorder="1"/>
    <xf numFmtId="0" fontId="15" fillId="0" borderId="38" xfId="694" applyBorder="1"/>
    <xf numFmtId="165" fontId="0" fillId="0" borderId="0" xfId="1" applyNumberFormat="1" applyFont="1" applyAlignment="1">
      <alignment horizontal="right"/>
    </xf>
    <xf numFmtId="9" fontId="0" fillId="0" borderId="0" xfId="0" quotePrefix="1" applyNumberFormat="1" applyAlignment="1">
      <alignment horizontal="right"/>
    </xf>
    <xf numFmtId="0" fontId="2" fillId="0" borderId="6" xfId="0" applyFont="1" applyBorder="1"/>
    <xf numFmtId="0" fontId="0" fillId="5" borderId="6" xfId="0" applyFill="1" applyBorder="1"/>
    <xf numFmtId="165" fontId="0" fillId="5" borderId="6" xfId="1" applyNumberFormat="1" applyFont="1" applyFill="1" applyBorder="1"/>
    <xf numFmtId="165" fontId="6" fillId="5" borderId="6" xfId="1" applyNumberFormat="1" applyFont="1" applyFill="1" applyBorder="1"/>
    <xf numFmtId="165" fontId="6" fillId="5" borderId="6" xfId="0" applyNumberFormat="1" applyFont="1" applyFill="1" applyBorder="1"/>
    <xf numFmtId="165" fontId="0" fillId="5" borderId="6" xfId="0" applyNumberFormat="1" applyFill="1" applyBorder="1"/>
    <xf numFmtId="165" fontId="0" fillId="108" borderId="0" xfId="0" applyNumberFormat="1" applyFill="1"/>
    <xf numFmtId="0" fontId="82" fillId="100" borderId="232" xfId="0" applyFont="1" applyFill="1" applyBorder="1" applyAlignment="1">
      <alignment wrapText="1"/>
    </xf>
    <xf numFmtId="0" fontId="82" fillId="100" borderId="233" xfId="0" applyFont="1" applyFill="1" applyBorder="1" applyAlignment="1">
      <alignment wrapText="1"/>
    </xf>
    <xf numFmtId="0" fontId="82" fillId="100" borderId="238" xfId="0" applyFont="1" applyFill="1" applyBorder="1" applyAlignment="1">
      <alignment wrapText="1"/>
    </xf>
    <xf numFmtId="0" fontId="5" fillId="104" borderId="232" xfId="0" applyFont="1" applyFill="1" applyBorder="1" applyAlignment="1">
      <alignment wrapText="1"/>
    </xf>
    <xf numFmtId="0" fontId="82" fillId="104" borderId="233" xfId="0" applyFont="1" applyFill="1" applyBorder="1"/>
    <xf numFmtId="0" fontId="5" fillId="104" borderId="238" xfId="0" applyFont="1" applyFill="1" applyBorder="1" applyAlignment="1">
      <alignment wrapText="1"/>
    </xf>
    <xf numFmtId="0" fontId="5" fillId="0" borderId="232" xfId="0" applyFont="1" applyBorder="1"/>
    <xf numFmtId="0" fontId="5" fillId="0" borderId="233" xfId="0" applyFont="1" applyBorder="1" applyAlignment="1"/>
    <xf numFmtId="0" fontId="5" fillId="0" borderId="238" xfId="0" applyFont="1" applyBorder="1" applyAlignment="1">
      <alignment wrapText="1"/>
    </xf>
    <xf numFmtId="0" fontId="5" fillId="104" borderId="232" xfId="0" applyFont="1" applyFill="1" applyBorder="1"/>
    <xf numFmtId="0" fontId="118" fillId="104" borderId="238" xfId="0" applyFont="1" applyFill="1" applyBorder="1" applyAlignment="1">
      <alignment horizontal="left" vertical="center" wrapText="1" indent="1"/>
    </xf>
    <xf numFmtId="0" fontId="118" fillId="0" borderId="238" xfId="0" applyFont="1" applyBorder="1" applyAlignment="1">
      <alignment wrapText="1"/>
    </xf>
    <xf numFmtId="0" fontId="132" fillId="104" borderId="238" xfId="0" applyFont="1" applyFill="1" applyBorder="1" applyAlignment="1">
      <alignment horizontal="left" vertical="center" wrapText="1" indent="1"/>
    </xf>
    <xf numFmtId="0" fontId="118" fillId="104" borderId="238" xfId="0" applyFont="1" applyFill="1" applyBorder="1" applyAlignment="1">
      <alignment wrapText="1"/>
    </xf>
    <xf numFmtId="0" fontId="118" fillId="0" borderId="238" xfId="0" applyFont="1" applyBorder="1"/>
    <xf numFmtId="0" fontId="5" fillId="104" borderId="238" xfId="0" applyFont="1" applyFill="1" applyBorder="1"/>
    <xf numFmtId="0" fontId="82" fillId="0" borderId="233" xfId="0" applyFont="1" applyBorder="1"/>
    <xf numFmtId="0" fontId="118" fillId="104" borderId="238" xfId="0" applyFont="1" applyFill="1" applyBorder="1"/>
    <xf numFmtId="0" fontId="5" fillId="7" borderId="238" xfId="0" applyFont="1" applyFill="1" applyBorder="1" applyAlignment="1">
      <alignment wrapText="1"/>
    </xf>
    <xf numFmtId="0" fontId="5" fillId="0" borderId="238" xfId="0" applyFont="1" applyBorder="1"/>
    <xf numFmtId="0" fontId="134" fillId="2" borderId="0" xfId="0" applyFont="1" applyFill="1"/>
    <xf numFmtId="0" fontId="0" fillId="2" borderId="0" xfId="0" applyFill="1"/>
    <xf numFmtId="0" fontId="2" fillId="2" borderId="0" xfId="0" applyFont="1" applyFill="1"/>
    <xf numFmtId="0" fontId="0" fillId="2" borderId="0" xfId="0" quotePrefix="1" applyFill="1"/>
    <xf numFmtId="0" fontId="134" fillId="2" borderId="0" xfId="0" applyFont="1" applyFill="1" applyAlignment="1">
      <alignment wrapText="1"/>
    </xf>
    <xf numFmtId="0" fontId="8" fillId="2" borderId="0" xfId="3" applyFill="1"/>
    <xf numFmtId="0" fontId="77" fillId="2" borderId="0" xfId="0" applyFont="1" applyFill="1"/>
    <xf numFmtId="0" fontId="0" fillId="0" borderId="0" xfId="0" applyAlignment="1">
      <alignment vertical="center"/>
    </xf>
    <xf numFmtId="0" fontId="2" fillId="0" borderId="0" xfId="0" applyFont="1" applyAlignment="1">
      <alignment vertical="center"/>
    </xf>
    <xf numFmtId="0" fontId="0" fillId="0" borderId="0" xfId="0" quotePrefix="1" applyAlignment="1">
      <alignment wrapText="1"/>
    </xf>
    <xf numFmtId="0" fontId="107" fillId="103" borderId="54" xfId="3" quotePrefix="1" applyFont="1" applyFill="1" applyBorder="1" applyAlignment="1">
      <alignment wrapText="1"/>
    </xf>
    <xf numFmtId="0" fontId="108" fillId="103" borderId="54" xfId="0" applyFont="1" applyFill="1" applyBorder="1" applyAlignment="1">
      <alignment wrapText="1"/>
    </xf>
    <xf numFmtId="0" fontId="108" fillId="103" borderId="54" xfId="0" applyFont="1" applyFill="1" applyBorder="1" applyAlignment="1"/>
    <xf numFmtId="0" fontId="108" fillId="103" borderId="54" xfId="0" applyFont="1" applyFill="1" applyBorder="1" applyAlignment="1">
      <alignment horizontal="right" wrapText="1"/>
    </xf>
    <xf numFmtId="0" fontId="108" fillId="103" borderId="54" xfId="0" applyFont="1" applyFill="1" applyBorder="1" applyAlignment="1">
      <alignment horizontal="right"/>
    </xf>
    <xf numFmtId="0" fontId="108" fillId="103" borderId="55" xfId="0" applyFont="1" applyFill="1" applyBorder="1" applyAlignment="1">
      <alignment horizontal="right"/>
    </xf>
    <xf numFmtId="0" fontId="5" fillId="7" borderId="42" xfId="3" applyFont="1" applyFill="1" applyBorder="1" applyAlignment="1">
      <alignment horizontal="left"/>
    </xf>
    <xf numFmtId="9" fontId="0" fillId="7" borderId="69" xfId="0" applyNumberFormat="1" applyFont="1" applyFill="1" applyBorder="1" applyAlignment="1">
      <alignment horizontal="right" wrapText="1"/>
    </xf>
    <xf numFmtId="0" fontId="77" fillId="67" borderId="240" xfId="3" applyFont="1" applyFill="1" applyBorder="1" applyAlignment="1">
      <alignment vertical="top" wrapText="1"/>
    </xf>
    <xf numFmtId="0" fontId="0" fillId="67" borderId="44" xfId="0" applyFill="1" applyBorder="1"/>
    <xf numFmtId="9" fontId="0" fillId="67" borderId="44" xfId="0" applyNumberFormat="1" applyFill="1" applyBorder="1" applyAlignment="1">
      <alignment horizontal="right" wrapText="1"/>
    </xf>
    <xf numFmtId="0" fontId="0" fillId="67" borderId="44" xfId="0" applyFill="1" applyBorder="1" applyAlignment="1">
      <alignment horizontal="right"/>
    </xf>
    <xf numFmtId="0" fontId="0" fillId="67" borderId="43" xfId="0" applyFill="1" applyBorder="1" applyAlignment="1">
      <alignment horizontal="right"/>
    </xf>
    <xf numFmtId="0" fontId="5" fillId="101" borderId="154" xfId="0" applyFont="1" applyFill="1" applyBorder="1" applyAlignment="1">
      <alignment horizontal="left" vertical="center" wrapText="1"/>
    </xf>
    <xf numFmtId="0" fontId="5" fillId="101" borderId="149" xfId="0" applyFont="1" applyFill="1" applyBorder="1" applyAlignment="1">
      <alignment horizontal="left" vertical="center" wrapText="1"/>
    </xf>
    <xf numFmtId="0" fontId="5" fillId="67" borderId="149" xfId="0" applyFont="1" applyFill="1" applyBorder="1" applyAlignment="1">
      <alignment horizontal="left" vertical="center" wrapText="1"/>
    </xf>
    <xf numFmtId="0" fontId="5" fillId="67" borderId="42" xfId="0" applyFont="1" applyFill="1" applyBorder="1" applyAlignment="1">
      <alignment horizontal="left" vertical="center" wrapText="1"/>
    </xf>
    <xf numFmtId="0" fontId="5" fillId="67" borderId="74" xfId="0" applyFont="1" applyFill="1" applyBorder="1" applyAlignment="1">
      <alignment horizontal="left" vertical="center" wrapText="1"/>
    </xf>
    <xf numFmtId="0" fontId="5" fillId="67" borderId="62" xfId="0" applyFont="1" applyFill="1" applyBorder="1" applyAlignment="1">
      <alignment horizontal="left" vertical="center" wrapText="1"/>
    </xf>
    <xf numFmtId="0" fontId="5" fillId="7" borderId="42" xfId="0" applyFont="1" applyFill="1" applyBorder="1" applyAlignment="1">
      <alignment horizontal="left" vertical="center" wrapText="1"/>
    </xf>
    <xf numFmtId="0" fontId="5" fillId="67" borderId="104" xfId="0" applyFont="1" applyFill="1" applyBorder="1" applyAlignment="1">
      <alignment horizontal="left" vertical="center" wrapText="1"/>
    </xf>
    <xf numFmtId="0" fontId="5" fillId="7" borderId="62" xfId="0" applyFont="1" applyFill="1" applyBorder="1" applyAlignment="1">
      <alignment horizontal="left" vertical="center" wrapText="1"/>
    </xf>
    <xf numFmtId="0" fontId="5" fillId="101" borderId="207" xfId="0" applyFont="1" applyFill="1" applyBorder="1" applyAlignment="1">
      <alignment horizontal="left" vertical="center" indent="5"/>
    </xf>
    <xf numFmtId="0" fontId="5" fillId="7" borderId="42" xfId="0" applyFont="1" applyFill="1" applyBorder="1" applyAlignment="1">
      <alignment horizontal="left" vertical="center" indent="5"/>
    </xf>
    <xf numFmtId="0" fontId="5" fillId="67" borderId="51" xfId="0" applyFont="1" applyFill="1" applyBorder="1" applyAlignment="1">
      <alignment horizontal="left" vertical="center" indent="5"/>
    </xf>
    <xf numFmtId="0" fontId="108" fillId="103" borderId="205" xfId="0" applyFont="1" applyFill="1" applyBorder="1" applyAlignment="1">
      <alignment horizontal="left" vertical="center"/>
    </xf>
    <xf numFmtId="0" fontId="5" fillId="101" borderId="42" xfId="0" applyFont="1" applyFill="1" applyBorder="1" applyAlignment="1">
      <alignment horizontal="left" vertical="center" wrapText="1"/>
    </xf>
    <xf numFmtId="0" fontId="5" fillId="7" borderId="149" xfId="3" applyFont="1" applyFill="1" applyBorder="1"/>
    <xf numFmtId="0" fontId="5" fillId="102" borderId="149" xfId="0" applyFont="1" applyFill="1" applyBorder="1" applyAlignment="1">
      <alignment horizontal="left" vertical="center" wrapText="1"/>
    </xf>
    <xf numFmtId="0" fontId="5" fillId="67" borderId="166" xfId="0" applyFont="1" applyFill="1" applyBorder="1" applyAlignment="1">
      <alignment horizontal="left" vertical="center" wrapText="1"/>
    </xf>
    <xf numFmtId="0" fontId="5" fillId="7" borderId="205" xfId="0" applyFont="1" applyFill="1" applyBorder="1" applyAlignment="1">
      <alignment horizontal="left"/>
    </xf>
    <xf numFmtId="0" fontId="5" fillId="7" borderId="149" xfId="0" applyFont="1" applyFill="1" applyBorder="1" applyAlignment="1">
      <alignment horizontal="left"/>
    </xf>
    <xf numFmtId="0" fontId="5" fillId="7" borderId="166" xfId="0" applyFont="1" applyFill="1" applyBorder="1" applyAlignment="1">
      <alignment horizontal="left" vertical="center" wrapText="1"/>
    </xf>
    <xf numFmtId="0" fontId="5" fillId="102" borderId="149" xfId="0" applyFont="1" applyFill="1" applyBorder="1" applyAlignment="1">
      <alignment horizontal="left" vertical="center" indent="5"/>
    </xf>
    <xf numFmtId="0" fontId="5" fillId="67" borderId="183" xfId="0" applyFont="1" applyFill="1" applyBorder="1" applyAlignment="1">
      <alignment horizontal="left" vertical="center" wrapText="1"/>
    </xf>
    <xf numFmtId="0" fontId="5" fillId="7" borderId="183" xfId="0" applyFont="1" applyFill="1" applyBorder="1" applyAlignment="1">
      <alignment horizontal="left" vertical="center" wrapText="1"/>
    </xf>
    <xf numFmtId="0" fontId="5" fillId="101" borderId="206" xfId="0" applyFont="1" applyFill="1" applyBorder="1" applyAlignment="1">
      <alignment horizontal="left" vertical="center" wrapText="1"/>
    </xf>
    <xf numFmtId="0" fontId="0" fillId="7" borderId="42" xfId="0" applyFill="1" applyBorder="1" applyAlignment="1">
      <alignment horizontal="left" vertical="center" wrapText="1"/>
    </xf>
    <xf numFmtId="0" fontId="0" fillId="7" borderId="205" xfId="0" applyFill="1" applyBorder="1" applyAlignment="1">
      <alignment horizontal="left" vertical="center" wrapText="1"/>
    </xf>
    <xf numFmtId="0" fontId="5" fillId="7" borderId="51" xfId="0" applyFont="1" applyFill="1" applyBorder="1" applyAlignment="1">
      <alignment vertical="center"/>
    </xf>
    <xf numFmtId="0" fontId="5" fillId="101" borderId="206" xfId="0" applyFont="1" applyFill="1" applyBorder="1" applyAlignment="1">
      <alignment horizontal="left" vertical="center"/>
    </xf>
    <xf numFmtId="0" fontId="5" fillId="101" borderId="42" xfId="0" applyFont="1" applyFill="1" applyBorder="1" applyAlignment="1">
      <alignment horizontal="left" vertical="center"/>
    </xf>
    <xf numFmtId="0" fontId="5" fillId="101" borderId="149" xfId="0" applyFont="1" applyFill="1" applyBorder="1" applyAlignment="1">
      <alignment horizontal="left" vertical="center"/>
    </xf>
    <xf numFmtId="0" fontId="5" fillId="7" borderId="51" xfId="0" applyFont="1" applyFill="1" applyBorder="1" applyAlignment="1">
      <alignment horizontal="left" vertical="center"/>
    </xf>
    <xf numFmtId="0" fontId="5" fillId="7" borderId="53" xfId="0" applyFont="1" applyFill="1" applyBorder="1" applyAlignment="1">
      <alignment horizontal="left" vertical="center"/>
    </xf>
    <xf numFmtId="0" fontId="5" fillId="101" borderId="154" xfId="0" applyFont="1" applyFill="1" applyBorder="1" applyAlignment="1">
      <alignment vertical="center"/>
    </xf>
    <xf numFmtId="0" fontId="5" fillId="7" borderId="42" xfId="0" applyFont="1" applyFill="1" applyBorder="1" applyAlignment="1">
      <alignment vertical="center"/>
    </xf>
    <xf numFmtId="0" fontId="5" fillId="7" borderId="149" xfId="0" applyFont="1" applyFill="1" applyBorder="1" applyAlignment="1">
      <alignment vertical="center"/>
    </xf>
    <xf numFmtId="0" fontId="5" fillId="67" borderId="149" xfId="0" applyFont="1" applyFill="1" applyBorder="1" applyAlignment="1">
      <alignment vertical="center"/>
    </xf>
    <xf numFmtId="0" fontId="5" fillId="67" borderId="62" xfId="0" applyFont="1" applyFill="1" applyBorder="1" applyAlignment="1">
      <alignment vertical="center"/>
    </xf>
    <xf numFmtId="0" fontId="5" fillId="101" borderId="154" xfId="0" applyFont="1" applyFill="1" applyBorder="1" applyAlignment="1">
      <alignment horizontal="left" vertical="center"/>
    </xf>
    <xf numFmtId="0" fontId="5" fillId="7" borderId="42" xfId="0" applyFont="1" applyFill="1" applyBorder="1" applyAlignment="1">
      <alignment horizontal="left" vertical="center"/>
    </xf>
    <xf numFmtId="0" fontId="5" fillId="67" borderId="51" xfId="0" applyFont="1" applyFill="1" applyBorder="1" applyAlignment="1">
      <alignment horizontal="left" vertical="center"/>
    </xf>
    <xf numFmtId="0" fontId="5" fillId="102" borderId="51" xfId="0" applyFont="1" applyFill="1" applyBorder="1" applyAlignment="1">
      <alignment horizontal="left" vertical="center"/>
    </xf>
    <xf numFmtId="0" fontId="5" fillId="67" borderId="53" xfId="0" applyFont="1" applyFill="1" applyBorder="1" applyAlignment="1">
      <alignment horizontal="left" vertical="center"/>
    </xf>
    <xf numFmtId="0" fontId="5" fillId="67" borderId="62" xfId="0" applyFont="1" applyFill="1" applyBorder="1" applyAlignment="1">
      <alignment horizontal="left" vertical="center"/>
    </xf>
    <xf numFmtId="0" fontId="5" fillId="67" borderId="149" xfId="0" applyFont="1" applyFill="1" applyBorder="1" applyAlignment="1">
      <alignment horizontal="left" vertical="center"/>
    </xf>
    <xf numFmtId="0" fontId="5" fillId="67" borderId="69" xfId="0" quotePrefix="1" applyFont="1" applyFill="1" applyBorder="1" applyAlignment="1">
      <alignment wrapText="1"/>
    </xf>
    <xf numFmtId="0" fontId="77" fillId="67" borderId="69" xfId="0" quotePrefix="1" applyFont="1" applyFill="1" applyBorder="1" applyAlignment="1">
      <alignment wrapText="1"/>
    </xf>
    <xf numFmtId="0" fontId="5" fillId="7" borderId="149" xfId="0" applyFont="1" applyFill="1" applyBorder="1" applyAlignment="1">
      <alignment horizontal="left" vertical="center"/>
    </xf>
    <xf numFmtId="0" fontId="5" fillId="7" borderId="56" xfId="0" applyFont="1" applyFill="1" applyBorder="1" applyAlignment="1">
      <alignment horizontal="left" vertical="center"/>
    </xf>
    <xf numFmtId="9" fontId="0" fillId="102" borderId="69" xfId="0" applyNumberFormat="1" applyFill="1" applyBorder="1" applyAlignment="1">
      <alignment horizontal="right" vertical="center" wrapText="1"/>
    </xf>
    <xf numFmtId="0" fontId="0" fillId="102" borderId="148" xfId="0" applyFill="1" applyBorder="1" applyAlignment="1">
      <alignment horizontal="right" vertical="center" wrapText="1"/>
    </xf>
    <xf numFmtId="0" fontId="5" fillId="101" borderId="207" xfId="0" applyFont="1" applyFill="1" applyBorder="1" applyAlignment="1">
      <alignment horizontal="left" vertical="center"/>
    </xf>
    <xf numFmtId="0" fontId="5" fillId="7" borderId="74" xfId="0" applyFont="1" applyFill="1" applyBorder="1" applyAlignment="1">
      <alignment horizontal="left" vertical="center"/>
    </xf>
    <xf numFmtId="0" fontId="5" fillId="102" borderId="149" xfId="0" applyFont="1" applyFill="1" applyBorder="1" applyAlignment="1">
      <alignment horizontal="left" vertical="center"/>
    </xf>
    <xf numFmtId="0" fontId="5" fillId="102" borderId="62" xfId="0" applyFont="1" applyFill="1" applyBorder="1" applyAlignment="1">
      <alignment horizontal="left" vertical="center"/>
    </xf>
    <xf numFmtId="0" fontId="5" fillId="101" borderId="4" xfId="0" applyFont="1" applyFill="1" applyBorder="1" applyAlignment="1">
      <alignment horizontal="left" vertical="center"/>
    </xf>
    <xf numFmtId="0" fontId="5" fillId="67" borderId="74" xfId="0" applyFont="1" applyFill="1" applyBorder="1" applyAlignment="1">
      <alignment horizontal="left" vertical="center"/>
    </xf>
    <xf numFmtId="0" fontId="5" fillId="7" borderId="62" xfId="0" applyFont="1" applyFill="1" applyBorder="1" applyAlignment="1">
      <alignment horizontal="left" vertical="center"/>
    </xf>
    <xf numFmtId="0" fontId="117" fillId="101" borderId="149" xfId="0" applyFont="1" applyFill="1" applyBorder="1" applyAlignment="1">
      <alignment horizontal="left" vertical="center"/>
    </xf>
    <xf numFmtId="0" fontId="5" fillId="67" borderId="166" xfId="0" applyFont="1" applyFill="1" applyBorder="1" applyAlignment="1">
      <alignment horizontal="left" vertical="center"/>
    </xf>
    <xf numFmtId="0" fontId="5" fillId="67" borderId="56" xfId="0" applyFont="1" applyFill="1" applyBorder="1" applyAlignment="1">
      <alignment horizontal="left" vertical="center"/>
    </xf>
    <xf numFmtId="0" fontId="5" fillId="67" borderId="56" xfId="0" applyFont="1" applyFill="1" applyBorder="1" applyAlignment="1">
      <alignment horizontal="left" vertical="center" wrapText="1"/>
    </xf>
    <xf numFmtId="0" fontId="77" fillId="67" borderId="57" xfId="3" applyFont="1" applyFill="1" applyBorder="1"/>
    <xf numFmtId="0" fontId="5" fillId="67" borderId="57" xfId="0" applyFont="1" applyFill="1" applyBorder="1" applyAlignment="1">
      <alignment horizontal="right" wrapText="1"/>
    </xf>
    <xf numFmtId="0" fontId="5" fillId="67" borderId="57" xfId="0" applyFont="1" applyFill="1" applyBorder="1" applyAlignment="1">
      <alignment horizontal="right"/>
    </xf>
    <xf numFmtId="0" fontId="5" fillId="67" borderId="58" xfId="0" applyFont="1" applyFill="1" applyBorder="1" applyAlignment="1">
      <alignment horizontal="right"/>
    </xf>
    <xf numFmtId="0" fontId="5" fillId="67" borderId="67" xfId="0" applyFont="1" applyFill="1" applyBorder="1"/>
    <xf numFmtId="0" fontId="5" fillId="67" borderId="239" xfId="0" applyFont="1" applyFill="1" applyBorder="1" applyAlignment="1">
      <alignment horizontal="left" vertical="center" indent="5"/>
    </xf>
    <xf numFmtId="0" fontId="5" fillId="67" borderId="241" xfId="0" applyFont="1" applyFill="1" applyBorder="1" applyAlignment="1">
      <alignment wrapText="1"/>
    </xf>
    <xf numFmtId="0" fontId="77" fillId="67" borderId="241" xfId="0" applyFont="1" applyFill="1" applyBorder="1" applyAlignment="1">
      <alignment wrapText="1"/>
    </xf>
    <xf numFmtId="0" fontId="5" fillId="67" borderId="241" xfId="0" applyFont="1" applyFill="1" applyBorder="1"/>
    <xf numFmtId="0" fontId="0" fillId="67" borderId="241" xfId="0" applyFill="1" applyBorder="1" applyAlignment="1">
      <alignment wrapText="1"/>
    </xf>
    <xf numFmtId="0" fontId="0" fillId="67" borderId="241" xfId="0" applyFill="1" applyBorder="1" applyAlignment="1">
      <alignment horizontal="right" wrapText="1"/>
    </xf>
    <xf numFmtId="0" fontId="0" fillId="67" borderId="242" xfId="0" applyFill="1" applyBorder="1" applyAlignment="1">
      <alignment horizontal="right" wrapText="1"/>
    </xf>
    <xf numFmtId="0" fontId="5" fillId="67" borderId="243" xfId="0" applyFont="1" applyFill="1" applyBorder="1" applyAlignment="1">
      <alignment horizontal="right" wrapText="1"/>
    </xf>
    <xf numFmtId="0" fontId="0" fillId="102" borderId="69" xfId="0" applyFill="1" applyBorder="1" applyAlignment="1">
      <alignment wrapText="1"/>
    </xf>
    <xf numFmtId="0" fontId="8" fillId="102" borderId="69" xfId="3" applyFill="1" applyBorder="1" applyAlignment="1">
      <alignment wrapText="1"/>
    </xf>
    <xf numFmtId="10" fontId="0" fillId="102" borderId="69" xfId="0" applyNumberFormat="1" applyFill="1" applyBorder="1" applyAlignment="1">
      <alignment horizontal="right" wrapText="1"/>
    </xf>
    <xf numFmtId="0" fontId="0" fillId="102" borderId="69" xfId="0" applyFill="1" applyBorder="1" applyAlignment="1">
      <alignment horizontal="right" wrapText="1"/>
    </xf>
    <xf numFmtId="0" fontId="0" fillId="102" borderId="148" xfId="0" applyFill="1" applyBorder="1" applyAlignment="1">
      <alignment horizontal="right" wrapText="1"/>
    </xf>
    <xf numFmtId="0" fontId="0" fillId="102" borderId="70" xfId="0" applyFill="1" applyBorder="1" applyAlignment="1">
      <alignment horizontal="right" wrapText="1"/>
    </xf>
    <xf numFmtId="0" fontId="0" fillId="2" borderId="0" xfId="0" applyFill="1" applyAlignment="1">
      <alignment wrapText="1"/>
    </xf>
    <xf numFmtId="0" fontId="135" fillId="2" borderId="0" xfId="3" applyFont="1" applyFill="1"/>
    <xf numFmtId="0" fontId="5" fillId="104" borderId="233" xfId="0" applyFont="1" applyFill="1" applyBorder="1" applyAlignment="1">
      <alignment wrapText="1"/>
    </xf>
    <xf numFmtId="0" fontId="136" fillId="2" borderId="0" xfId="0" applyFont="1" applyFill="1" applyAlignment="1">
      <alignment wrapText="1"/>
    </xf>
    <xf numFmtId="0" fontId="0" fillId="2" borderId="0" xfId="0" applyFill="1" applyBorder="1"/>
    <xf numFmtId="0" fontId="8" fillId="2" borderId="0" xfId="3" applyFill="1" applyBorder="1"/>
    <xf numFmtId="0" fontId="73" fillId="2" borderId="0" xfId="0" applyFont="1" applyFill="1" applyBorder="1"/>
    <xf numFmtId="0" fontId="139" fillId="0" borderId="0" xfId="0" applyFont="1"/>
    <xf numFmtId="0" fontId="140" fillId="0" borderId="0" xfId="0" applyFont="1"/>
    <xf numFmtId="0" fontId="140" fillId="0" borderId="0" xfId="0" applyFont="1" applyAlignment="1"/>
    <xf numFmtId="0" fontId="104" fillId="0" borderId="0" xfId="0" applyFont="1"/>
    <xf numFmtId="0" fontId="140" fillId="0" borderId="0" xfId="0" applyFont="1" applyAlignment="1">
      <alignment horizontal="center" vertical="top" wrapText="1"/>
    </xf>
    <xf numFmtId="0" fontId="140" fillId="0" borderId="0" xfId="0" applyFont="1" applyAlignment="1">
      <alignment horizontal="center"/>
    </xf>
    <xf numFmtId="0" fontId="104" fillId="0" borderId="0" xfId="0" applyFont="1" applyAlignment="1">
      <alignment wrapText="1"/>
    </xf>
    <xf numFmtId="0" fontId="142" fillId="0" borderId="0" xfId="0" applyFont="1" applyAlignment="1">
      <alignment horizontal="center"/>
    </xf>
    <xf numFmtId="1" fontId="104" fillId="0" borderId="0" xfId="0" applyNumberFormat="1" applyFont="1"/>
    <xf numFmtId="1" fontId="103" fillId="0" borderId="0" xfId="0" applyNumberFormat="1" applyFont="1" applyFill="1" applyAlignment="1">
      <alignment horizontal="right"/>
    </xf>
    <xf numFmtId="1" fontId="104" fillId="0" borderId="0" xfId="0" applyNumberFormat="1" applyFont="1" applyFill="1"/>
    <xf numFmtId="1" fontId="104" fillId="0" borderId="0" xfId="0" applyNumberFormat="1" applyFont="1" applyAlignment="1">
      <alignment horizontal="center"/>
    </xf>
    <xf numFmtId="1" fontId="140" fillId="0" borderId="0" xfId="0" applyNumberFormat="1" applyFont="1" applyAlignment="1">
      <alignment horizontal="center"/>
    </xf>
    <xf numFmtId="1" fontId="104" fillId="0" borderId="0" xfId="0" applyNumberFormat="1" applyFont="1" applyAlignment="1">
      <alignment horizontal="right"/>
    </xf>
    <xf numFmtId="1" fontId="143" fillId="0" borderId="0" xfId="0" applyNumberFormat="1" applyFont="1" applyFill="1" applyAlignment="1">
      <alignment horizontal="right"/>
    </xf>
    <xf numFmtId="1" fontId="142" fillId="0" borderId="0" xfId="0" applyNumberFormat="1" applyFont="1" applyAlignment="1">
      <alignment horizontal="center"/>
    </xf>
    <xf numFmtId="0" fontId="0" fillId="0" borderId="0" xfId="0" applyAlignment="1">
      <alignment horizontal="right" vertical="center" wrapText="1"/>
    </xf>
    <xf numFmtId="0" fontId="0" fillId="0" borderId="0" xfId="0" applyAlignment="1">
      <alignment vertical="center" wrapText="1"/>
    </xf>
    <xf numFmtId="0" fontId="142" fillId="0" borderId="0" xfId="0" applyFont="1"/>
    <xf numFmtId="0" fontId="83" fillId="0" borderId="0" xfId="0" applyFont="1"/>
    <xf numFmtId="0" fontId="0" fillId="0" borderId="0" xfId="0" applyFont="1" applyAlignment="1">
      <alignment wrapText="1"/>
    </xf>
    <xf numFmtId="1" fontId="0" fillId="0" borderId="0" xfId="0" applyNumberFormat="1" applyFont="1" applyAlignment="1">
      <alignment horizontal="right"/>
    </xf>
    <xf numFmtId="1" fontId="104" fillId="0" borderId="0" xfId="0" applyNumberFormat="1" applyFont="1" applyFill="1" applyAlignment="1">
      <alignment horizontal="right"/>
    </xf>
    <xf numFmtId="1" fontId="145" fillId="0" borderId="0" xfId="0" applyNumberFormat="1" applyFont="1" applyFill="1" applyAlignment="1">
      <alignment horizontal="right"/>
    </xf>
    <xf numFmtId="1" fontId="111" fillId="0" borderId="0" xfId="0" applyNumberFormat="1" applyFont="1" applyFill="1" applyAlignment="1">
      <alignment horizontal="right"/>
    </xf>
    <xf numFmtId="0" fontId="0" fillId="0" borderId="0" xfId="0" applyFont="1" applyFill="1"/>
    <xf numFmtId="1" fontId="0" fillId="0" borderId="0" xfId="0" applyNumberFormat="1" applyFont="1" applyFill="1"/>
    <xf numFmtId="1" fontId="146" fillId="0" borderId="0" xfId="0" applyNumberFormat="1" applyFont="1" applyFill="1"/>
    <xf numFmtId="0" fontId="104" fillId="0" borderId="0" xfId="0" applyFont="1" applyFill="1"/>
    <xf numFmtId="1" fontId="147" fillId="0" borderId="0" xfId="0" applyNumberFormat="1" applyFont="1" applyFill="1"/>
    <xf numFmtId="1" fontId="5" fillId="0" borderId="0" xfId="0" applyNumberFormat="1" applyFont="1" applyFill="1" applyAlignment="1">
      <alignment horizontal="right"/>
    </xf>
    <xf numFmtId="0" fontId="140" fillId="0" borderId="0" xfId="0" applyFont="1" applyAlignment="1">
      <alignment horizontal="center" vertical="center" wrapText="1"/>
    </xf>
    <xf numFmtId="0" fontId="140" fillId="0" borderId="0" xfId="0" applyFont="1" applyAlignment="1">
      <alignment horizontal="center" vertical="center"/>
    </xf>
    <xf numFmtId="0" fontId="0" fillId="109" borderId="0" xfId="0" applyFont="1" applyFill="1" applyAlignment="1">
      <alignment vertical="center" wrapText="1"/>
    </xf>
    <xf numFmtId="0" fontId="0" fillId="109" borderId="0" xfId="0" applyFill="1"/>
    <xf numFmtId="0" fontId="0" fillId="109" borderId="61" xfId="0" applyFill="1" applyBorder="1"/>
    <xf numFmtId="0" fontId="0" fillId="109" borderId="69" xfId="0" applyFill="1" applyBorder="1"/>
    <xf numFmtId="0" fontId="0" fillId="67" borderId="215" xfId="0" applyFill="1" applyBorder="1" applyAlignment="1">
      <alignment horizontal="right" wrapText="1"/>
    </xf>
    <xf numFmtId="10" fontId="0" fillId="67" borderId="211" xfId="0" applyNumberFormat="1" applyFill="1" applyBorder="1" applyAlignment="1">
      <alignment horizontal="right" wrapText="1"/>
    </xf>
    <xf numFmtId="0" fontId="5" fillId="0" borderId="0" xfId="0" applyFont="1" applyFill="1" applyBorder="1" applyAlignment="1">
      <alignment horizontal="left" wrapText="1"/>
    </xf>
    <xf numFmtId="0" fontId="82" fillId="7" borderId="0" xfId="0" applyFont="1" applyFill="1" applyAlignment="1">
      <alignment horizontal="center" wrapText="1"/>
    </xf>
    <xf numFmtId="0" fontId="82" fillId="7" borderId="0" xfId="0" applyFont="1" applyFill="1" applyAlignment="1">
      <alignment horizontal="center"/>
    </xf>
    <xf numFmtId="0" fontId="140" fillId="0" borderId="0" xfId="0" applyFont="1" applyAlignment="1">
      <alignment horizontal="center"/>
    </xf>
  </cellXfs>
  <cellStyles count="695">
    <cellStyle name="20% - Accent1 2" xfId="290" xr:uid="{00000000-0005-0000-0000-000000000000}"/>
    <cellStyle name="20% - Accent10" xfId="4" xr:uid="{00000000-0005-0000-0000-000001000000}"/>
    <cellStyle name="20% - Accent11" xfId="5" xr:uid="{00000000-0005-0000-0000-000002000000}"/>
    <cellStyle name="20% - Accent12" xfId="6" xr:uid="{00000000-0005-0000-0000-000003000000}"/>
    <cellStyle name="20% - Accent2 2" xfId="291" xr:uid="{00000000-0005-0000-0000-000004000000}"/>
    <cellStyle name="20% - Accent3 2" xfId="292" xr:uid="{00000000-0005-0000-0000-000005000000}"/>
    <cellStyle name="20% - Accent4 2" xfId="293" xr:uid="{00000000-0005-0000-0000-000006000000}"/>
    <cellStyle name="20% - Accent5 2" xfId="294" xr:uid="{00000000-0005-0000-0000-000007000000}"/>
    <cellStyle name="20% - Accent6 2" xfId="295" xr:uid="{00000000-0005-0000-0000-000008000000}"/>
    <cellStyle name="20% - Accent7" xfId="7" xr:uid="{00000000-0005-0000-0000-000009000000}"/>
    <cellStyle name="20% - Accent8" xfId="8" xr:uid="{00000000-0005-0000-0000-00000A000000}"/>
    <cellStyle name="20% - Accent9" xfId="9" xr:uid="{00000000-0005-0000-0000-00000B000000}"/>
    <cellStyle name="20% - Ênfase1" xfId="10" xr:uid="{00000000-0005-0000-0000-00000C000000}"/>
    <cellStyle name="20% - Ênfase2" xfId="11" xr:uid="{00000000-0005-0000-0000-00000D000000}"/>
    <cellStyle name="20% - Ênfase3" xfId="12" xr:uid="{00000000-0005-0000-0000-00000E000000}"/>
    <cellStyle name="20% - Ênfase4" xfId="13" xr:uid="{00000000-0005-0000-0000-00000F000000}"/>
    <cellStyle name="20% - Ênfase5" xfId="14" xr:uid="{00000000-0005-0000-0000-000010000000}"/>
    <cellStyle name="20% - Ênfase6" xfId="15" xr:uid="{00000000-0005-0000-0000-000011000000}"/>
    <cellStyle name="2x indented GHG Textfiels" xfId="16" xr:uid="{00000000-0005-0000-0000-000012000000}"/>
    <cellStyle name="2x indented GHG Textfiels 2" xfId="344" xr:uid="{00000000-0005-0000-0000-000013000000}"/>
    <cellStyle name="40% - Accent1 2" xfId="296" xr:uid="{00000000-0005-0000-0000-000014000000}"/>
    <cellStyle name="40% - Accent10" xfId="17" xr:uid="{00000000-0005-0000-0000-000015000000}"/>
    <cellStyle name="40% - Accent11" xfId="18" xr:uid="{00000000-0005-0000-0000-000016000000}"/>
    <cellStyle name="40% - Accent12" xfId="19" xr:uid="{00000000-0005-0000-0000-000017000000}"/>
    <cellStyle name="40% - Accent2 2" xfId="297" xr:uid="{00000000-0005-0000-0000-000018000000}"/>
    <cellStyle name="40% - Accent3 2" xfId="298" xr:uid="{00000000-0005-0000-0000-000019000000}"/>
    <cellStyle name="40% - Accent4 2" xfId="299" xr:uid="{00000000-0005-0000-0000-00001A000000}"/>
    <cellStyle name="40% - Accent5 2" xfId="300" xr:uid="{00000000-0005-0000-0000-00001B000000}"/>
    <cellStyle name="40% - Accent6 2" xfId="301" xr:uid="{00000000-0005-0000-0000-00001C000000}"/>
    <cellStyle name="40% - Accent7" xfId="20" xr:uid="{00000000-0005-0000-0000-00001D000000}"/>
    <cellStyle name="40% - Accent8" xfId="21" xr:uid="{00000000-0005-0000-0000-00001E000000}"/>
    <cellStyle name="40% - Accent9" xfId="22" xr:uid="{00000000-0005-0000-0000-00001F000000}"/>
    <cellStyle name="40% - Ênfase1" xfId="23" xr:uid="{00000000-0005-0000-0000-000020000000}"/>
    <cellStyle name="40% - Ênfase2" xfId="24" xr:uid="{00000000-0005-0000-0000-000021000000}"/>
    <cellStyle name="40% - Ênfase3" xfId="25" xr:uid="{00000000-0005-0000-0000-000022000000}"/>
    <cellStyle name="40% - Ênfase4" xfId="26" xr:uid="{00000000-0005-0000-0000-000023000000}"/>
    <cellStyle name="40% - Ênfase5" xfId="27" xr:uid="{00000000-0005-0000-0000-000024000000}"/>
    <cellStyle name="40% - Ênfase6" xfId="28" xr:uid="{00000000-0005-0000-0000-000025000000}"/>
    <cellStyle name="5x indented GHG Textfiels" xfId="29" xr:uid="{00000000-0005-0000-0000-000026000000}"/>
    <cellStyle name="5x indented GHG Textfiels 2" xfId="345" xr:uid="{00000000-0005-0000-0000-000027000000}"/>
    <cellStyle name="60% - Accent1 2" xfId="302" xr:uid="{00000000-0005-0000-0000-000028000000}"/>
    <cellStyle name="60% - Accent10" xfId="30" xr:uid="{00000000-0005-0000-0000-000029000000}"/>
    <cellStyle name="60% - Accent11" xfId="31" xr:uid="{00000000-0005-0000-0000-00002A000000}"/>
    <cellStyle name="60% - Accent12" xfId="32" xr:uid="{00000000-0005-0000-0000-00002B000000}"/>
    <cellStyle name="60% - Accent2 2" xfId="303" xr:uid="{00000000-0005-0000-0000-00002C000000}"/>
    <cellStyle name="60% - Accent3 2" xfId="304" xr:uid="{00000000-0005-0000-0000-00002D000000}"/>
    <cellStyle name="60% - Accent4 2" xfId="305" xr:uid="{00000000-0005-0000-0000-00002E000000}"/>
    <cellStyle name="60% - Accent5 2" xfId="306" xr:uid="{00000000-0005-0000-0000-00002F000000}"/>
    <cellStyle name="60% - Accent6 2" xfId="307" xr:uid="{00000000-0005-0000-0000-000030000000}"/>
    <cellStyle name="60% - Accent7" xfId="33" xr:uid="{00000000-0005-0000-0000-000031000000}"/>
    <cellStyle name="60% - Accent8" xfId="34" xr:uid="{00000000-0005-0000-0000-000032000000}"/>
    <cellStyle name="60% - Accent9" xfId="35" xr:uid="{00000000-0005-0000-0000-000033000000}"/>
    <cellStyle name="60% - Ênfase1" xfId="36" xr:uid="{00000000-0005-0000-0000-000034000000}"/>
    <cellStyle name="60% - Ênfase2" xfId="37" xr:uid="{00000000-0005-0000-0000-000035000000}"/>
    <cellStyle name="60% - Ênfase3" xfId="38" xr:uid="{00000000-0005-0000-0000-000036000000}"/>
    <cellStyle name="60% - Ênfase4" xfId="39" xr:uid="{00000000-0005-0000-0000-000037000000}"/>
    <cellStyle name="60% - Ênfase5" xfId="40" xr:uid="{00000000-0005-0000-0000-000038000000}"/>
    <cellStyle name="60% - Ênfase6" xfId="41" xr:uid="{00000000-0005-0000-0000-000039000000}"/>
    <cellStyle name="Accent1 2" xfId="308" xr:uid="{00000000-0005-0000-0000-00003A000000}"/>
    <cellStyle name="Accent10" xfId="42" xr:uid="{00000000-0005-0000-0000-00003B000000}"/>
    <cellStyle name="Accent11" xfId="43" xr:uid="{00000000-0005-0000-0000-00003C000000}"/>
    <cellStyle name="Accent12" xfId="44" xr:uid="{00000000-0005-0000-0000-00003D000000}"/>
    <cellStyle name="Accent2 2" xfId="309" xr:uid="{00000000-0005-0000-0000-00003E000000}"/>
    <cellStyle name="Accent3 2" xfId="310" xr:uid="{00000000-0005-0000-0000-00003F000000}"/>
    <cellStyle name="Accent4 2" xfId="311" xr:uid="{00000000-0005-0000-0000-000040000000}"/>
    <cellStyle name="Accent5 2" xfId="312" xr:uid="{00000000-0005-0000-0000-000041000000}"/>
    <cellStyle name="Accent6 2" xfId="313" xr:uid="{00000000-0005-0000-0000-000042000000}"/>
    <cellStyle name="Accent7" xfId="45" xr:uid="{00000000-0005-0000-0000-000043000000}"/>
    <cellStyle name="Accent8" xfId="46" xr:uid="{00000000-0005-0000-0000-000044000000}"/>
    <cellStyle name="Accent9" xfId="47" xr:uid="{00000000-0005-0000-0000-000045000000}"/>
    <cellStyle name="AggblueCels_1x" xfId="48" xr:uid="{00000000-0005-0000-0000-000046000000}"/>
    <cellStyle name="annee semestre" xfId="49" xr:uid="{00000000-0005-0000-0000-000047000000}"/>
    <cellStyle name="annee semestre 2" xfId="346" xr:uid="{00000000-0005-0000-0000-000048000000}"/>
    <cellStyle name="annee semestre 2 2" xfId="501" xr:uid="{00000000-0005-0000-0000-000049000000}"/>
    <cellStyle name="annee semestre 2 3" xfId="559" xr:uid="{00000000-0005-0000-0000-00004A000000}"/>
    <cellStyle name="annee semestre 2 4" xfId="560" xr:uid="{00000000-0005-0000-0000-00004B000000}"/>
    <cellStyle name="annee semestre 3" xfId="373" xr:uid="{00000000-0005-0000-0000-00004C000000}"/>
    <cellStyle name="annee semestre 4" xfId="515" xr:uid="{00000000-0005-0000-0000-00004D000000}"/>
    <cellStyle name="annee semestre 5" xfId="488" xr:uid="{00000000-0005-0000-0000-00004E000000}"/>
    <cellStyle name="Bad 2" xfId="314" xr:uid="{00000000-0005-0000-0000-00004F000000}"/>
    <cellStyle name="Berekening" xfId="50" xr:uid="{00000000-0005-0000-0000-000050000000}"/>
    <cellStyle name="Berekening 2" xfId="465" xr:uid="{00000000-0005-0000-0000-000051000000}"/>
    <cellStyle name="Berekening 3" xfId="502" xr:uid="{00000000-0005-0000-0000-000052000000}"/>
    <cellStyle name="Berekening 4" xfId="516" xr:uid="{00000000-0005-0000-0000-000053000000}"/>
    <cellStyle name="Berekening 5" xfId="573" xr:uid="{00000000-0005-0000-0000-000054000000}"/>
    <cellStyle name="Bold GHG Numbers (0.00)" xfId="51" xr:uid="{00000000-0005-0000-0000-000055000000}"/>
    <cellStyle name="Bold GHG Numbers (0.00) 2" xfId="347" xr:uid="{00000000-0005-0000-0000-000056000000}"/>
    <cellStyle name="Bom" xfId="52" xr:uid="{00000000-0005-0000-0000-000057000000}"/>
    <cellStyle name="C02_Column heads" xfId="315" xr:uid="{00000000-0005-0000-0000-000058000000}"/>
    <cellStyle name="Calculation 2" xfId="316" xr:uid="{00000000-0005-0000-0000-000059000000}"/>
    <cellStyle name="Cálculo" xfId="53" xr:uid="{00000000-0005-0000-0000-00005A000000}"/>
    <cellStyle name="Cálculo 2" xfId="464" xr:uid="{00000000-0005-0000-0000-00005B000000}"/>
    <cellStyle name="Cálculo 3" xfId="508" xr:uid="{00000000-0005-0000-0000-00005C000000}"/>
    <cellStyle name="Cálculo 4" xfId="513" xr:uid="{00000000-0005-0000-0000-00005D000000}"/>
    <cellStyle name="Cálculo 5" xfId="657" xr:uid="{00000000-0005-0000-0000-00005E000000}"/>
    <cellStyle name="Célula de Verificação" xfId="54" xr:uid="{00000000-0005-0000-0000-00005F000000}"/>
    <cellStyle name="Célula Vinculada" xfId="55" xr:uid="{00000000-0005-0000-0000-000060000000}"/>
    <cellStyle name="Check Cell 2" xfId="317" xr:uid="{00000000-0005-0000-0000-000061000000}"/>
    <cellStyle name="Comma" xfId="1" builtinId="3"/>
    <cellStyle name="Comma [0] 2" xfId="318" xr:uid="{00000000-0005-0000-0000-000063000000}"/>
    <cellStyle name="Comma [0] 2 2" xfId="319" xr:uid="{00000000-0005-0000-0000-000064000000}"/>
    <cellStyle name="Comma [0] 3" xfId="320" xr:uid="{00000000-0005-0000-0000-000065000000}"/>
    <cellStyle name="Comma [0] 4" xfId="321" xr:uid="{00000000-0005-0000-0000-000066000000}"/>
    <cellStyle name="Comma [0] 5" xfId="322" xr:uid="{00000000-0005-0000-0000-000067000000}"/>
    <cellStyle name="Comma [0] 6" xfId="323" xr:uid="{00000000-0005-0000-0000-000068000000}"/>
    <cellStyle name="Comma 10" xfId="324" xr:uid="{00000000-0005-0000-0000-000069000000}"/>
    <cellStyle name="Comma 11" xfId="325" xr:uid="{00000000-0005-0000-0000-00006A000000}"/>
    <cellStyle name="Comma 12" xfId="326" xr:uid="{00000000-0005-0000-0000-00006B000000}"/>
    <cellStyle name="Comma 2" xfId="56" xr:uid="{00000000-0005-0000-0000-00006C000000}"/>
    <cellStyle name="Comma 2 2" xfId="327" xr:uid="{00000000-0005-0000-0000-00006D000000}"/>
    <cellStyle name="Comma 2 3" xfId="328" xr:uid="{00000000-0005-0000-0000-00006E000000}"/>
    <cellStyle name="Comma 3" xfId="57" xr:uid="{00000000-0005-0000-0000-00006F000000}"/>
    <cellStyle name="Comma 3 2" xfId="329" xr:uid="{00000000-0005-0000-0000-000070000000}"/>
    <cellStyle name="Comma 4" xfId="58" xr:uid="{00000000-0005-0000-0000-000071000000}"/>
    <cellStyle name="Comma 5" xfId="59" xr:uid="{00000000-0005-0000-0000-000072000000}"/>
    <cellStyle name="Comma 6" xfId="60" xr:uid="{00000000-0005-0000-0000-000073000000}"/>
    <cellStyle name="Comma 7" xfId="61" xr:uid="{00000000-0005-0000-0000-000074000000}"/>
    <cellStyle name="Comma 8" xfId="330" xr:uid="{00000000-0005-0000-0000-000075000000}"/>
    <cellStyle name="Comma 9" xfId="331" xr:uid="{00000000-0005-0000-0000-000076000000}"/>
    <cellStyle name="Comma0" xfId="62" xr:uid="{00000000-0005-0000-0000-000077000000}"/>
    <cellStyle name="Comma0 - Stil2" xfId="63" xr:uid="{00000000-0005-0000-0000-000078000000}"/>
    <cellStyle name="Comma0 - Stil3" xfId="64" xr:uid="{00000000-0005-0000-0000-000079000000}"/>
    <cellStyle name="Controlecel" xfId="65" xr:uid="{00000000-0005-0000-0000-00007A000000}"/>
    <cellStyle name="Cover" xfId="66" xr:uid="{00000000-0005-0000-0000-00007B000000}"/>
    <cellStyle name="Currency0" xfId="67" xr:uid="{00000000-0005-0000-0000-00007C000000}"/>
    <cellStyle name="Date" xfId="68" xr:uid="{00000000-0005-0000-0000-00007D000000}"/>
    <cellStyle name="Dezimal [0]_CoAsDCol" xfId="69" xr:uid="{00000000-0005-0000-0000-00007E000000}"/>
    <cellStyle name="Dezimal_CoAsDCol" xfId="70" xr:uid="{00000000-0005-0000-0000-00007F000000}"/>
    <cellStyle name="données" xfId="71" xr:uid="{00000000-0005-0000-0000-000080000000}"/>
    <cellStyle name="donnéesbord" xfId="72" xr:uid="{00000000-0005-0000-0000-000081000000}"/>
    <cellStyle name="E_Calculation0" xfId="73" xr:uid="{00000000-0005-0000-0000-000082000000}"/>
    <cellStyle name="E_Calculation0 10" xfId="545" xr:uid="{00000000-0005-0000-0000-000083000000}"/>
    <cellStyle name="E_Calculation0 11" xfId="646" xr:uid="{00000000-0005-0000-0000-000084000000}"/>
    <cellStyle name="E_Calculation0 12" xfId="580" xr:uid="{00000000-0005-0000-0000-000085000000}"/>
    <cellStyle name="E_Calculation0 13" xfId="665" xr:uid="{00000000-0005-0000-0000-000086000000}"/>
    <cellStyle name="E_Calculation0 14" xfId="578" xr:uid="{00000000-0005-0000-0000-000087000000}"/>
    <cellStyle name="E_Calculation0 15" xfId="595" xr:uid="{00000000-0005-0000-0000-000088000000}"/>
    <cellStyle name="E_Calculation0 16" xfId="572" xr:uid="{00000000-0005-0000-0000-000089000000}"/>
    <cellStyle name="E_Calculation0 17" xfId="677" xr:uid="{00000000-0005-0000-0000-00008A000000}"/>
    <cellStyle name="E_Calculation0 2" xfId="383" xr:uid="{00000000-0005-0000-0000-00008B000000}"/>
    <cellStyle name="E_Calculation0 3" xfId="448" xr:uid="{00000000-0005-0000-0000-00008C000000}"/>
    <cellStyle name="E_Calculation0 4" xfId="458" xr:uid="{00000000-0005-0000-0000-00008D000000}"/>
    <cellStyle name="E_Calculation0 5" xfId="472" xr:uid="{00000000-0005-0000-0000-00008E000000}"/>
    <cellStyle name="E_Calculation0 6" xfId="485" xr:uid="{00000000-0005-0000-0000-00008F000000}"/>
    <cellStyle name="E_Calculation0 7" xfId="442" xr:uid="{00000000-0005-0000-0000-000090000000}"/>
    <cellStyle name="E_Calculation0 8" xfId="542" xr:uid="{00000000-0005-0000-0000-000091000000}"/>
    <cellStyle name="E_Calculation0 9" xfId="535" xr:uid="{00000000-0005-0000-0000-000092000000}"/>
    <cellStyle name="E_Calculation1" xfId="74" xr:uid="{00000000-0005-0000-0000-000093000000}"/>
    <cellStyle name="E_Calculation1 10" xfId="551" xr:uid="{00000000-0005-0000-0000-000094000000}"/>
    <cellStyle name="E_Calculation1 11" xfId="645" xr:uid="{00000000-0005-0000-0000-000095000000}"/>
    <cellStyle name="E_Calculation1 12" xfId="581" xr:uid="{00000000-0005-0000-0000-000096000000}"/>
    <cellStyle name="E_Calculation1 13" xfId="633" xr:uid="{00000000-0005-0000-0000-000097000000}"/>
    <cellStyle name="E_Calculation1 14" xfId="579" xr:uid="{00000000-0005-0000-0000-000098000000}"/>
    <cellStyle name="E_Calculation1 15" xfId="602" xr:uid="{00000000-0005-0000-0000-000099000000}"/>
    <cellStyle name="E_Calculation1 16" xfId="685" xr:uid="{00000000-0005-0000-0000-00009A000000}"/>
    <cellStyle name="E_Calculation1 17" xfId="691" xr:uid="{00000000-0005-0000-0000-00009B000000}"/>
    <cellStyle name="E_Calculation1 2" xfId="384" xr:uid="{00000000-0005-0000-0000-00009C000000}"/>
    <cellStyle name="E_Calculation1 3" xfId="447" xr:uid="{00000000-0005-0000-0000-00009D000000}"/>
    <cellStyle name="E_Calculation1 4" xfId="476" xr:uid="{00000000-0005-0000-0000-00009E000000}"/>
    <cellStyle name="E_Calculation1 5" xfId="364" xr:uid="{00000000-0005-0000-0000-00009F000000}"/>
    <cellStyle name="E_Calculation1 6" xfId="478" xr:uid="{00000000-0005-0000-0000-0000A0000000}"/>
    <cellStyle name="E_Calculation1 7" xfId="537" xr:uid="{00000000-0005-0000-0000-0000A1000000}"/>
    <cellStyle name="E_Calculation1 8" xfId="555" xr:uid="{00000000-0005-0000-0000-0000A2000000}"/>
    <cellStyle name="E_Calculation1 9" xfId="512" xr:uid="{00000000-0005-0000-0000-0000A3000000}"/>
    <cellStyle name="E_Calculation2" xfId="75" xr:uid="{00000000-0005-0000-0000-0000A4000000}"/>
    <cellStyle name="E_Calculation2 10" xfId="558" xr:uid="{00000000-0005-0000-0000-0000A5000000}"/>
    <cellStyle name="E_Calculation2 11" xfId="644" xr:uid="{00000000-0005-0000-0000-0000A6000000}"/>
    <cellStyle name="E_Calculation2 12" xfId="582" xr:uid="{00000000-0005-0000-0000-0000A7000000}"/>
    <cellStyle name="E_Calculation2 13" xfId="628" xr:uid="{00000000-0005-0000-0000-0000A8000000}"/>
    <cellStyle name="E_Calculation2 14" xfId="586" xr:uid="{00000000-0005-0000-0000-0000A9000000}"/>
    <cellStyle name="E_Calculation2 15" xfId="650" xr:uid="{00000000-0005-0000-0000-0000AA000000}"/>
    <cellStyle name="E_Calculation2 16" xfId="618" xr:uid="{00000000-0005-0000-0000-0000AB000000}"/>
    <cellStyle name="E_Calculation2 17" xfId="570" xr:uid="{00000000-0005-0000-0000-0000AC000000}"/>
    <cellStyle name="E_Calculation2 2" xfId="385" xr:uid="{00000000-0005-0000-0000-0000AD000000}"/>
    <cellStyle name="E_Calculation2 3" xfId="446" xr:uid="{00000000-0005-0000-0000-0000AE000000}"/>
    <cellStyle name="E_Calculation2 4" xfId="358" xr:uid="{00000000-0005-0000-0000-0000AF000000}"/>
    <cellStyle name="E_Calculation2 5" xfId="471" xr:uid="{00000000-0005-0000-0000-0000B0000000}"/>
    <cellStyle name="E_Calculation2 6" xfId="462" xr:uid="{00000000-0005-0000-0000-0000B1000000}"/>
    <cellStyle name="E_Calculation2 7" xfId="475" xr:uid="{00000000-0005-0000-0000-0000B2000000}"/>
    <cellStyle name="E_Calculation2 8" xfId="423" xr:uid="{00000000-0005-0000-0000-0000B3000000}"/>
    <cellStyle name="E_Calculation2 9" xfId="529" xr:uid="{00000000-0005-0000-0000-0000B4000000}"/>
    <cellStyle name="E_Calculation3" xfId="76" xr:uid="{00000000-0005-0000-0000-0000B5000000}"/>
    <cellStyle name="E_Calculation3 10" xfId="518" xr:uid="{00000000-0005-0000-0000-0000B6000000}"/>
    <cellStyle name="E_Calculation3 11" xfId="643" xr:uid="{00000000-0005-0000-0000-0000B7000000}"/>
    <cellStyle name="E_Calculation3 12" xfId="583" xr:uid="{00000000-0005-0000-0000-0000B8000000}"/>
    <cellStyle name="E_Calculation3 13" xfId="626" xr:uid="{00000000-0005-0000-0000-0000B9000000}"/>
    <cellStyle name="E_Calculation3 14" xfId="587" xr:uid="{00000000-0005-0000-0000-0000BA000000}"/>
    <cellStyle name="E_Calculation3 15" xfId="681" xr:uid="{00000000-0005-0000-0000-0000BB000000}"/>
    <cellStyle name="E_Calculation3 16" xfId="617" xr:uid="{00000000-0005-0000-0000-0000BC000000}"/>
    <cellStyle name="E_Calculation3 17" xfId="608" xr:uid="{00000000-0005-0000-0000-0000BD000000}"/>
    <cellStyle name="E_Calculation3 2" xfId="386" xr:uid="{00000000-0005-0000-0000-0000BE000000}"/>
    <cellStyle name="E_Calculation3 3" xfId="445" xr:uid="{00000000-0005-0000-0000-0000BF000000}"/>
    <cellStyle name="E_Calculation3 4" xfId="457" xr:uid="{00000000-0005-0000-0000-0000C0000000}"/>
    <cellStyle name="E_Calculation3 5" xfId="363" xr:uid="{00000000-0005-0000-0000-0000C1000000}"/>
    <cellStyle name="E_Calculation3 6" xfId="490" xr:uid="{00000000-0005-0000-0000-0000C2000000}"/>
    <cellStyle name="E_Calculation3 7" xfId="468" xr:uid="{00000000-0005-0000-0000-0000C3000000}"/>
    <cellStyle name="E_Calculation3 8" xfId="554" xr:uid="{00000000-0005-0000-0000-0000C4000000}"/>
    <cellStyle name="E_Calculation3 9" xfId="491" xr:uid="{00000000-0005-0000-0000-0000C5000000}"/>
    <cellStyle name="E_Calculation4" xfId="77" xr:uid="{00000000-0005-0000-0000-0000C6000000}"/>
    <cellStyle name="E_Calculation4 10" xfId="506" xr:uid="{00000000-0005-0000-0000-0000C7000000}"/>
    <cellStyle name="E_Calculation4 11" xfId="642" xr:uid="{00000000-0005-0000-0000-0000C8000000}"/>
    <cellStyle name="E_Calculation4 12" xfId="584" xr:uid="{00000000-0005-0000-0000-0000C9000000}"/>
    <cellStyle name="E_Calculation4 13" xfId="668" xr:uid="{00000000-0005-0000-0000-0000CA000000}"/>
    <cellStyle name="E_Calculation4 14" xfId="588" xr:uid="{00000000-0005-0000-0000-0000CB000000}"/>
    <cellStyle name="E_Calculation4 15" xfId="566" xr:uid="{00000000-0005-0000-0000-0000CC000000}"/>
    <cellStyle name="E_Calculation4 16" xfId="574" xr:uid="{00000000-0005-0000-0000-0000CD000000}"/>
    <cellStyle name="E_Calculation4 17" xfId="659" xr:uid="{00000000-0005-0000-0000-0000CE000000}"/>
    <cellStyle name="E_Calculation4 2" xfId="387" xr:uid="{00000000-0005-0000-0000-0000CF000000}"/>
    <cellStyle name="E_Calculation4 3" xfId="444" xr:uid="{00000000-0005-0000-0000-0000D0000000}"/>
    <cellStyle name="E_Calculation4 4" xfId="456" xr:uid="{00000000-0005-0000-0000-0000D1000000}"/>
    <cellStyle name="E_Calculation4 5" xfId="362" xr:uid="{00000000-0005-0000-0000-0000D2000000}"/>
    <cellStyle name="E_Calculation4 6" xfId="540" xr:uid="{00000000-0005-0000-0000-0000D3000000}"/>
    <cellStyle name="E_Calculation4 7" xfId="549" xr:uid="{00000000-0005-0000-0000-0000D4000000}"/>
    <cellStyle name="E_Calculation4 8" xfId="474" xr:uid="{00000000-0005-0000-0000-0000D5000000}"/>
    <cellStyle name="E_Calculation4 9" xfId="413" xr:uid="{00000000-0005-0000-0000-0000D6000000}"/>
    <cellStyle name="E_CalculationSum" xfId="78" xr:uid="{00000000-0005-0000-0000-0000D7000000}"/>
    <cellStyle name="E_CalculationSum 10" xfId="381" xr:uid="{00000000-0005-0000-0000-0000D8000000}"/>
    <cellStyle name="E_CalculationSum 11" xfId="641" xr:uid="{00000000-0005-0000-0000-0000D9000000}"/>
    <cellStyle name="E_CalculationSum 12" xfId="585" xr:uid="{00000000-0005-0000-0000-0000DA000000}"/>
    <cellStyle name="E_CalculationSum 13" xfId="625" xr:uid="{00000000-0005-0000-0000-0000DB000000}"/>
    <cellStyle name="E_CalculationSum 14" xfId="594" xr:uid="{00000000-0005-0000-0000-0000DC000000}"/>
    <cellStyle name="E_CalculationSum 15" xfId="676" xr:uid="{00000000-0005-0000-0000-0000DD000000}"/>
    <cellStyle name="E_CalculationSum 16" xfId="671" xr:uid="{00000000-0005-0000-0000-0000DE000000}"/>
    <cellStyle name="E_CalculationSum 17" xfId="609" xr:uid="{00000000-0005-0000-0000-0000DF000000}"/>
    <cellStyle name="E_CalculationSum 2" xfId="388" xr:uid="{00000000-0005-0000-0000-0000E0000000}"/>
    <cellStyle name="E_CalculationSum 3" xfId="443" xr:uid="{00000000-0005-0000-0000-0000E1000000}"/>
    <cellStyle name="E_CalculationSum 4" xfId="455" xr:uid="{00000000-0005-0000-0000-0000E2000000}"/>
    <cellStyle name="E_CalculationSum 5" xfId="361" xr:uid="{00000000-0005-0000-0000-0000E3000000}"/>
    <cellStyle name="E_CalculationSum 6" xfId="477" xr:uid="{00000000-0005-0000-0000-0000E4000000}"/>
    <cellStyle name="E_CalculationSum 7" xfId="433" xr:uid="{00000000-0005-0000-0000-0000E5000000}"/>
    <cellStyle name="E_CalculationSum 8" xfId="521" xr:uid="{00000000-0005-0000-0000-0000E6000000}"/>
    <cellStyle name="E_CalculationSum 9" xfId="509" xr:uid="{00000000-0005-0000-0000-0000E7000000}"/>
    <cellStyle name="E_Check" xfId="79" xr:uid="{00000000-0005-0000-0000-0000E8000000}"/>
    <cellStyle name="E_Comment" xfId="80" xr:uid="{00000000-0005-0000-0000-0000E9000000}"/>
    <cellStyle name="E_Footer" xfId="81" xr:uid="{00000000-0005-0000-0000-0000EA000000}"/>
    <cellStyle name="E_Footer 2" xfId="440" xr:uid="{00000000-0005-0000-0000-0000EB000000}"/>
    <cellStyle name="E_Footer 3" xfId="412" xr:uid="{00000000-0005-0000-0000-0000EC000000}"/>
    <cellStyle name="E_Footer 4" xfId="414" xr:uid="{00000000-0005-0000-0000-0000ED000000}"/>
    <cellStyle name="E_Footer 5" xfId="610" xr:uid="{00000000-0005-0000-0000-0000EE000000}"/>
    <cellStyle name="E_Input1" xfId="82" xr:uid="{00000000-0005-0000-0000-0000EF000000}"/>
    <cellStyle name="E_Input1 10" xfId="562" xr:uid="{00000000-0005-0000-0000-0000F0000000}"/>
    <cellStyle name="E_Input1 11" xfId="638" xr:uid="{00000000-0005-0000-0000-0000F1000000}"/>
    <cellStyle name="E_Input1 12" xfId="589" xr:uid="{00000000-0005-0000-0000-0000F2000000}"/>
    <cellStyle name="E_Input1 13" xfId="624" xr:uid="{00000000-0005-0000-0000-0000F3000000}"/>
    <cellStyle name="E_Input1 14" xfId="569" xr:uid="{00000000-0005-0000-0000-0000F4000000}"/>
    <cellStyle name="E_Input1 15" xfId="680" xr:uid="{00000000-0005-0000-0000-0000F5000000}"/>
    <cellStyle name="E_Input1 16" xfId="616" xr:uid="{00000000-0005-0000-0000-0000F6000000}"/>
    <cellStyle name="E_Input1 17" xfId="690" xr:uid="{00000000-0005-0000-0000-0000F7000000}"/>
    <cellStyle name="E_Input1 2" xfId="389" xr:uid="{00000000-0005-0000-0000-0000F8000000}"/>
    <cellStyle name="E_Input1 3" xfId="439" xr:uid="{00000000-0005-0000-0000-0000F9000000}"/>
    <cellStyle name="E_Input1 4" xfId="453" xr:uid="{00000000-0005-0000-0000-0000FA000000}"/>
    <cellStyle name="E_Input1 5" xfId="360" xr:uid="{00000000-0005-0000-0000-0000FB000000}"/>
    <cellStyle name="E_Input1 6" xfId="441" xr:uid="{00000000-0005-0000-0000-0000FC000000}"/>
    <cellStyle name="E_Input1 7" xfId="523" xr:uid="{00000000-0005-0000-0000-0000FD000000}"/>
    <cellStyle name="E_Input1 8" xfId="422" xr:uid="{00000000-0005-0000-0000-0000FE000000}"/>
    <cellStyle name="E_Input1 9" xfId="400" xr:uid="{00000000-0005-0000-0000-0000FF000000}"/>
    <cellStyle name="E_Input2" xfId="83" xr:uid="{00000000-0005-0000-0000-000000010000}"/>
    <cellStyle name="E_Input2 10" xfId="469" xr:uid="{00000000-0005-0000-0000-000001010000}"/>
    <cellStyle name="E_Input2 11" xfId="637" xr:uid="{00000000-0005-0000-0000-000002010000}"/>
    <cellStyle name="E_Input2 12" xfId="590" xr:uid="{00000000-0005-0000-0000-000003010000}"/>
    <cellStyle name="E_Input2 13" xfId="623" xr:uid="{00000000-0005-0000-0000-000004010000}"/>
    <cellStyle name="E_Input2 14" xfId="599" xr:uid="{00000000-0005-0000-0000-000005010000}"/>
    <cellStyle name="E_Input2 15" xfId="606" xr:uid="{00000000-0005-0000-0000-000006010000}"/>
    <cellStyle name="E_Input2 16" xfId="687" xr:uid="{00000000-0005-0000-0000-000007010000}"/>
    <cellStyle name="E_Input2 17" xfId="675" xr:uid="{00000000-0005-0000-0000-000008010000}"/>
    <cellStyle name="E_Input2 2" xfId="390" xr:uid="{00000000-0005-0000-0000-000009010000}"/>
    <cellStyle name="E_Input2 3" xfId="438" xr:uid="{00000000-0005-0000-0000-00000A010000}"/>
    <cellStyle name="E_Input2 4" xfId="452" xr:uid="{00000000-0005-0000-0000-00000B010000}"/>
    <cellStyle name="E_Input2 5" xfId="359" xr:uid="{00000000-0005-0000-0000-00000C010000}"/>
    <cellStyle name="E_Input2 6" xfId="539" xr:uid="{00000000-0005-0000-0000-00000D010000}"/>
    <cellStyle name="E_Input2 7" xfId="548" xr:uid="{00000000-0005-0000-0000-00000E010000}"/>
    <cellStyle name="E_Input2 8" xfId="357" xr:uid="{00000000-0005-0000-0000-00000F010000}"/>
    <cellStyle name="E_Input2 9" xfId="514" xr:uid="{00000000-0005-0000-0000-000010010000}"/>
    <cellStyle name="E_InputFixed" xfId="84" xr:uid="{00000000-0005-0000-0000-000011010000}"/>
    <cellStyle name="E_InputFixed 10" xfId="556" xr:uid="{00000000-0005-0000-0000-000012010000}"/>
    <cellStyle name="E_InputFixed 11" xfId="636" xr:uid="{00000000-0005-0000-0000-000013010000}"/>
    <cellStyle name="E_InputFixed 12" xfId="591" xr:uid="{00000000-0005-0000-0000-000014010000}"/>
    <cellStyle name="E_InputFixed 13" xfId="656" xr:uid="{00000000-0005-0000-0000-000015010000}"/>
    <cellStyle name="E_InputFixed 14" xfId="601" xr:uid="{00000000-0005-0000-0000-000016010000}"/>
    <cellStyle name="E_InputFixed 15" xfId="679" xr:uid="{00000000-0005-0000-0000-000017010000}"/>
    <cellStyle name="E_InputFixed 16" xfId="615" xr:uid="{00000000-0005-0000-0000-000018010000}"/>
    <cellStyle name="E_InputFixed 17" xfId="689" xr:uid="{00000000-0005-0000-0000-000019010000}"/>
    <cellStyle name="E_InputFixed 2" xfId="391" xr:uid="{00000000-0005-0000-0000-00001A010000}"/>
    <cellStyle name="E_InputFixed 3" xfId="437" xr:uid="{00000000-0005-0000-0000-00001B010000}"/>
    <cellStyle name="E_InputFixed 4" xfId="451" xr:uid="{00000000-0005-0000-0000-00001C010000}"/>
    <cellStyle name="E_InputFixed 5" xfId="480" xr:uid="{00000000-0005-0000-0000-00001D010000}"/>
    <cellStyle name="E_InputFixed 6" xfId="470" xr:uid="{00000000-0005-0000-0000-00001E010000}"/>
    <cellStyle name="E_InputFixed 7" xfId="531" xr:uid="{00000000-0005-0000-0000-00001F010000}"/>
    <cellStyle name="E_InputFixed 8" xfId="489" xr:uid="{00000000-0005-0000-0000-000020010000}"/>
    <cellStyle name="E_InputFixed 9" xfId="403" xr:uid="{00000000-0005-0000-0000-000021010000}"/>
    <cellStyle name="E_InputList" xfId="85" xr:uid="{00000000-0005-0000-0000-000022010000}"/>
    <cellStyle name="E_InputList 10" xfId="533" xr:uid="{00000000-0005-0000-0000-000023010000}"/>
    <cellStyle name="E_InputList 11" xfId="635" xr:uid="{00000000-0005-0000-0000-000024010000}"/>
    <cellStyle name="E_InputList 12" xfId="592" xr:uid="{00000000-0005-0000-0000-000025010000}"/>
    <cellStyle name="E_InputList 13" xfId="673" xr:uid="{00000000-0005-0000-0000-000026010000}"/>
    <cellStyle name="E_InputList 14" xfId="661" xr:uid="{00000000-0005-0000-0000-000027010000}"/>
    <cellStyle name="E_InputList 15" xfId="662" xr:uid="{00000000-0005-0000-0000-000028010000}"/>
    <cellStyle name="E_InputList 16" xfId="686" xr:uid="{00000000-0005-0000-0000-000029010000}"/>
    <cellStyle name="E_InputList 17" xfId="652" xr:uid="{00000000-0005-0000-0000-00002A010000}"/>
    <cellStyle name="E_InputList 2" xfId="392" xr:uid="{00000000-0005-0000-0000-00002B010000}"/>
    <cellStyle name="E_InputList 3" xfId="436" xr:uid="{00000000-0005-0000-0000-00002C010000}"/>
    <cellStyle name="E_InputList 4" xfId="450" xr:uid="{00000000-0005-0000-0000-00002D010000}"/>
    <cellStyle name="E_InputList 5" xfId="463" xr:uid="{00000000-0005-0000-0000-00002E010000}"/>
    <cellStyle name="E_InputList 6" xfId="538" xr:uid="{00000000-0005-0000-0000-00002F010000}"/>
    <cellStyle name="E_InputList 7" xfId="547" xr:uid="{00000000-0005-0000-0000-000030010000}"/>
    <cellStyle name="E_InputList 8" xfId="534" xr:uid="{00000000-0005-0000-0000-000031010000}"/>
    <cellStyle name="E_InputList 9" xfId="557" xr:uid="{00000000-0005-0000-0000-000032010000}"/>
    <cellStyle name="E_InputWhite" xfId="86" xr:uid="{00000000-0005-0000-0000-000033010000}"/>
    <cellStyle name="E_InputWhite 10" xfId="496" xr:uid="{00000000-0005-0000-0000-000034010000}"/>
    <cellStyle name="E_InputWhite 11" xfId="634" xr:uid="{00000000-0005-0000-0000-000035010000}"/>
    <cellStyle name="E_InputWhite 12" xfId="593" xr:uid="{00000000-0005-0000-0000-000036010000}"/>
    <cellStyle name="E_InputWhite 13" xfId="622" xr:uid="{00000000-0005-0000-0000-000037010000}"/>
    <cellStyle name="E_InputWhite 14" xfId="565" xr:uid="{00000000-0005-0000-0000-000038010000}"/>
    <cellStyle name="E_InputWhite 15" xfId="678" xr:uid="{00000000-0005-0000-0000-000039010000}"/>
    <cellStyle name="E_InputWhite 16" xfId="670" xr:uid="{00000000-0005-0000-0000-00003A010000}"/>
    <cellStyle name="E_InputWhite 17" xfId="682" xr:uid="{00000000-0005-0000-0000-00003B010000}"/>
    <cellStyle name="E_InputWhite 2" xfId="393" xr:uid="{00000000-0005-0000-0000-00003C010000}"/>
    <cellStyle name="E_InputWhite 3" xfId="435" xr:uid="{00000000-0005-0000-0000-00003D010000}"/>
    <cellStyle name="E_InputWhite 4" xfId="449" xr:uid="{00000000-0005-0000-0000-00003E010000}"/>
    <cellStyle name="E_InputWhite 5" xfId="479" xr:uid="{00000000-0005-0000-0000-00003F010000}"/>
    <cellStyle name="E_InputWhite 6" xfId="525" xr:uid="{00000000-0005-0000-0000-000040010000}"/>
    <cellStyle name="E_InputWhite 7" xfId="425" xr:uid="{00000000-0005-0000-0000-000041010000}"/>
    <cellStyle name="E_InputWhite 8" xfId="541" xr:uid="{00000000-0005-0000-0000-000042010000}"/>
    <cellStyle name="E_InputWhite 9" xfId="511" xr:uid="{00000000-0005-0000-0000-000043010000}"/>
    <cellStyle name="E_RangeName" xfId="87" xr:uid="{00000000-0005-0000-0000-000044010000}"/>
    <cellStyle name="E_SecTitle1" xfId="88" xr:uid="{00000000-0005-0000-0000-000045010000}"/>
    <cellStyle name="E_SecTitle2" xfId="89" xr:uid="{00000000-0005-0000-0000-000046010000}"/>
    <cellStyle name="E_SecTitle3" xfId="90" xr:uid="{00000000-0005-0000-0000-000047010000}"/>
    <cellStyle name="E_Source" xfId="91" xr:uid="{00000000-0005-0000-0000-000048010000}"/>
    <cellStyle name="E_TableCell0" xfId="92" xr:uid="{00000000-0005-0000-0000-000049010000}"/>
    <cellStyle name="E_TableCell0 10" xfId="408" xr:uid="{00000000-0005-0000-0000-00004A010000}"/>
    <cellStyle name="E_TableCell0 11" xfId="563" xr:uid="{00000000-0005-0000-0000-00004B010000}"/>
    <cellStyle name="E_TableCell0 12" xfId="632" xr:uid="{00000000-0005-0000-0000-00004C010000}"/>
    <cellStyle name="E_TableCell0 13" xfId="596" xr:uid="{00000000-0005-0000-0000-00004D010000}"/>
    <cellStyle name="E_TableCell0 14" xfId="621" xr:uid="{00000000-0005-0000-0000-00004E010000}"/>
    <cellStyle name="E_TableCell0 15" xfId="603" xr:uid="{00000000-0005-0000-0000-00004F010000}"/>
    <cellStyle name="E_TableCell0 16" xfId="688" xr:uid="{00000000-0005-0000-0000-000050010000}"/>
    <cellStyle name="E_TableCell0 17" xfId="654" xr:uid="{00000000-0005-0000-0000-000051010000}"/>
    <cellStyle name="E_TableCell0 18" xfId="611" xr:uid="{00000000-0005-0000-0000-000052010000}"/>
    <cellStyle name="E_TableCell0 2" xfId="395" xr:uid="{00000000-0005-0000-0000-000053010000}"/>
    <cellStyle name="E_TableCell0 3" xfId="432" xr:uid="{00000000-0005-0000-0000-000054010000}"/>
    <cellStyle name="E_TableCell0 4" xfId="520" xr:uid="{00000000-0005-0000-0000-000055010000}"/>
    <cellStyle name="E_TableCell0 5" xfId="532" xr:uid="{00000000-0005-0000-0000-000056010000}"/>
    <cellStyle name="E_TableCell0 6" xfId="543" xr:uid="{00000000-0005-0000-0000-000057010000}"/>
    <cellStyle name="E_TableCell0 7" xfId="510" xr:uid="{00000000-0005-0000-0000-000058010000}"/>
    <cellStyle name="E_TableCell0 8" xfId="552" xr:uid="{00000000-0005-0000-0000-000059010000}"/>
    <cellStyle name="E_TableCell0 9" xfId="402" xr:uid="{00000000-0005-0000-0000-00005A010000}"/>
    <cellStyle name="E_TableCell1" xfId="93" xr:uid="{00000000-0005-0000-0000-00005B010000}"/>
    <cellStyle name="E_TableCell1 10" xfId="415" xr:uid="{00000000-0005-0000-0000-00005C010000}"/>
    <cellStyle name="E_TableCell1 11" xfId="536" xr:uid="{00000000-0005-0000-0000-00005D010000}"/>
    <cellStyle name="E_TableCell1 12" xfId="631" xr:uid="{00000000-0005-0000-0000-00005E010000}"/>
    <cellStyle name="E_TableCell1 13" xfId="597" xr:uid="{00000000-0005-0000-0000-00005F010000}"/>
    <cellStyle name="E_TableCell1 14" xfId="620" xr:uid="{00000000-0005-0000-0000-000060010000}"/>
    <cellStyle name="E_TableCell1 15" xfId="653" xr:uid="{00000000-0005-0000-0000-000061010000}"/>
    <cellStyle name="E_TableCell1 16" xfId="607" xr:uid="{00000000-0005-0000-0000-000062010000}"/>
    <cellStyle name="E_TableCell1 17" xfId="649" xr:uid="{00000000-0005-0000-0000-000063010000}"/>
    <cellStyle name="E_TableCell1 18" xfId="672" xr:uid="{00000000-0005-0000-0000-000064010000}"/>
    <cellStyle name="E_TableCell1 2" xfId="396" xr:uid="{00000000-0005-0000-0000-000065010000}"/>
    <cellStyle name="E_TableCell1 3" xfId="431" xr:uid="{00000000-0005-0000-0000-000066010000}"/>
    <cellStyle name="E_TableCell1 4" xfId="505" xr:uid="{00000000-0005-0000-0000-000067010000}"/>
    <cellStyle name="E_TableCell1 5" xfId="461" xr:uid="{00000000-0005-0000-0000-000068010000}"/>
    <cellStyle name="E_TableCell1 6" xfId="426" xr:uid="{00000000-0005-0000-0000-000069010000}"/>
    <cellStyle name="E_TableCell1 7" xfId="411" xr:uid="{00000000-0005-0000-0000-00006A010000}"/>
    <cellStyle name="E_TableCell1 8" xfId="522" xr:uid="{00000000-0005-0000-0000-00006B010000}"/>
    <cellStyle name="E_TableCell1 9" xfId="394" xr:uid="{00000000-0005-0000-0000-00006C010000}"/>
    <cellStyle name="E_TableCell2" xfId="94" xr:uid="{00000000-0005-0000-0000-00006D010000}"/>
    <cellStyle name="E_TableCell2 10" xfId="379" xr:uid="{00000000-0005-0000-0000-00006E010000}"/>
    <cellStyle name="E_TableCell2 11" xfId="544" xr:uid="{00000000-0005-0000-0000-00006F010000}"/>
    <cellStyle name="E_TableCell2 12" xfId="630" xr:uid="{00000000-0005-0000-0000-000070010000}"/>
    <cellStyle name="E_TableCell2 13" xfId="598" xr:uid="{00000000-0005-0000-0000-000071010000}"/>
    <cellStyle name="E_TableCell2 14" xfId="666" xr:uid="{00000000-0005-0000-0000-000072010000}"/>
    <cellStyle name="E_TableCell2 15" xfId="604" xr:uid="{00000000-0005-0000-0000-000073010000}"/>
    <cellStyle name="E_TableCell2 16" xfId="577" xr:uid="{00000000-0005-0000-0000-000074010000}"/>
    <cellStyle name="E_TableCell2 17" xfId="658" xr:uid="{00000000-0005-0000-0000-000075010000}"/>
    <cellStyle name="E_TableCell2 18" xfId="663" xr:uid="{00000000-0005-0000-0000-000076010000}"/>
    <cellStyle name="E_TableCell2 2" xfId="397" xr:uid="{00000000-0005-0000-0000-000077010000}"/>
    <cellStyle name="E_TableCell2 3" xfId="430" xr:uid="{00000000-0005-0000-0000-000078010000}"/>
    <cellStyle name="E_TableCell2 4" xfId="434" xr:uid="{00000000-0005-0000-0000-000079010000}"/>
    <cellStyle name="E_TableCell2 5" xfId="460" xr:uid="{00000000-0005-0000-0000-00007A010000}"/>
    <cellStyle name="E_TableCell2 6" xfId="382" xr:uid="{00000000-0005-0000-0000-00007B010000}"/>
    <cellStyle name="E_TableCell2 7" xfId="405" xr:uid="{00000000-0005-0000-0000-00007C010000}"/>
    <cellStyle name="E_TableCell2 8" xfId="526" xr:uid="{00000000-0005-0000-0000-00007D010000}"/>
    <cellStyle name="E_TableCell2 9" xfId="420" xr:uid="{00000000-0005-0000-0000-00007E010000}"/>
    <cellStyle name="E_TableHeader0" xfId="95" xr:uid="{00000000-0005-0000-0000-00007F010000}"/>
    <cellStyle name="E_TableHeader0 10" xfId="416" xr:uid="{00000000-0005-0000-0000-000080010000}"/>
    <cellStyle name="E_TableHeader0 11" xfId="418" xr:uid="{00000000-0005-0000-0000-000081010000}"/>
    <cellStyle name="E_TableHeader0 12" xfId="629" xr:uid="{00000000-0005-0000-0000-000082010000}"/>
    <cellStyle name="E_TableHeader0 13" xfId="660" xr:uid="{00000000-0005-0000-0000-000083010000}"/>
    <cellStyle name="E_TableHeader0 14" xfId="664" xr:uid="{00000000-0005-0000-0000-000084010000}"/>
    <cellStyle name="E_TableHeader0 15" xfId="605" xr:uid="{00000000-0005-0000-0000-000085010000}"/>
    <cellStyle name="E_TableHeader0 16" xfId="571" xr:uid="{00000000-0005-0000-0000-000086010000}"/>
    <cellStyle name="E_TableHeader0 17" xfId="614" xr:uid="{00000000-0005-0000-0000-000087010000}"/>
    <cellStyle name="E_TableHeader0 18" xfId="576" xr:uid="{00000000-0005-0000-0000-000088010000}"/>
    <cellStyle name="E_TableHeader0 2" xfId="398" xr:uid="{00000000-0005-0000-0000-000089010000}"/>
    <cellStyle name="E_TableHeader0 3" xfId="429" xr:uid="{00000000-0005-0000-0000-00008A010000}"/>
    <cellStyle name="E_TableHeader0 4" xfId="497" xr:uid="{00000000-0005-0000-0000-00008B010000}"/>
    <cellStyle name="E_TableHeader0 5" xfId="459" xr:uid="{00000000-0005-0000-0000-00008C010000}"/>
    <cellStyle name="E_TableHeader0 6" xfId="504" xr:uid="{00000000-0005-0000-0000-00008D010000}"/>
    <cellStyle name="E_TableHeader0 7" xfId="482" xr:uid="{00000000-0005-0000-0000-00008E010000}"/>
    <cellStyle name="E_TableHeader0 8" xfId="503" xr:uid="{00000000-0005-0000-0000-00008F010000}"/>
    <cellStyle name="E_TableHeader0 9" xfId="519" xr:uid="{00000000-0005-0000-0000-000090010000}"/>
    <cellStyle name="E_TableHeader1" xfId="96" xr:uid="{00000000-0005-0000-0000-000091010000}"/>
    <cellStyle name="E_TableHeader2" xfId="97" xr:uid="{00000000-0005-0000-0000-000092010000}"/>
    <cellStyle name="E_TableHeader2 10" xfId="530" xr:uid="{00000000-0005-0000-0000-000093010000}"/>
    <cellStyle name="E_TableHeader2 11" xfId="495" xr:uid="{00000000-0005-0000-0000-000094010000}"/>
    <cellStyle name="E_TableHeader2 12" xfId="627" xr:uid="{00000000-0005-0000-0000-000095010000}"/>
    <cellStyle name="E_TableHeader2 13" xfId="600" xr:uid="{00000000-0005-0000-0000-000096010000}"/>
    <cellStyle name="E_TableHeader2 14" xfId="619" xr:uid="{00000000-0005-0000-0000-000097010000}"/>
    <cellStyle name="E_TableHeader2 15" xfId="564" xr:uid="{00000000-0005-0000-0000-000098010000}"/>
    <cellStyle name="E_TableHeader2 16" xfId="567" xr:uid="{00000000-0005-0000-0000-000099010000}"/>
    <cellStyle name="E_TableHeader2 17" xfId="674" xr:uid="{00000000-0005-0000-0000-00009A010000}"/>
    <cellStyle name="E_TableHeader2 18" xfId="612" xr:uid="{00000000-0005-0000-0000-00009B010000}"/>
    <cellStyle name="E_TableHeader2 2" xfId="399" xr:uid="{00000000-0005-0000-0000-00009C010000}"/>
    <cellStyle name="E_TableHeader2 3" xfId="427" xr:uid="{00000000-0005-0000-0000-00009D010000}"/>
    <cellStyle name="E_TableHeader2 4" xfId="428" xr:uid="{00000000-0005-0000-0000-00009E010000}"/>
    <cellStyle name="E_TableHeader2 5" xfId="454" xr:uid="{00000000-0005-0000-0000-00009F010000}"/>
    <cellStyle name="E_TableHeader2 6" xfId="524" xr:uid="{00000000-0005-0000-0000-0000A0010000}"/>
    <cellStyle name="E_TableHeader2 7" xfId="494" xr:uid="{00000000-0005-0000-0000-0000A1010000}"/>
    <cellStyle name="E_TableHeader2 8" xfId="424" xr:uid="{00000000-0005-0000-0000-0000A2010000}"/>
    <cellStyle name="E_TableHeader2 9" xfId="419" xr:uid="{00000000-0005-0000-0000-0000A3010000}"/>
    <cellStyle name="E_VBACommunication" xfId="98" xr:uid="{00000000-0005-0000-0000-0000A4010000}"/>
    <cellStyle name="E_Warning" xfId="99" xr:uid="{00000000-0005-0000-0000-0000A5010000}"/>
    <cellStyle name="EF_Comment" xfId="100" xr:uid="{00000000-0005-0000-0000-0000A6010000}"/>
    <cellStyle name="Empty_B_border" xfId="101" xr:uid="{00000000-0005-0000-0000-0000A7010000}"/>
    <cellStyle name="Ênfase1" xfId="102" xr:uid="{00000000-0005-0000-0000-0000A8010000}"/>
    <cellStyle name="Ênfase2" xfId="103" xr:uid="{00000000-0005-0000-0000-0000A9010000}"/>
    <cellStyle name="Ênfase3" xfId="104" xr:uid="{00000000-0005-0000-0000-0000AA010000}"/>
    <cellStyle name="Ênfase4" xfId="105" xr:uid="{00000000-0005-0000-0000-0000AB010000}"/>
    <cellStyle name="Ênfase5" xfId="106" xr:uid="{00000000-0005-0000-0000-0000AC010000}"/>
    <cellStyle name="Ênfase6" xfId="107" xr:uid="{00000000-0005-0000-0000-0000AD010000}"/>
    <cellStyle name="Entrada" xfId="108" xr:uid="{00000000-0005-0000-0000-0000AE010000}"/>
    <cellStyle name="Entrada 2" xfId="421" xr:uid="{00000000-0005-0000-0000-0000AF010000}"/>
    <cellStyle name="Entrada 3" xfId="356" xr:uid="{00000000-0005-0000-0000-0000B0010000}"/>
    <cellStyle name="Entrada 4" xfId="409" xr:uid="{00000000-0005-0000-0000-0000B1010000}"/>
    <cellStyle name="Entrada 5" xfId="683" xr:uid="{00000000-0005-0000-0000-0000B2010000}"/>
    <cellStyle name="Explanatory Text 2" xfId="332" xr:uid="{00000000-0005-0000-0000-0000B3010000}"/>
    <cellStyle name="Fixed" xfId="109" xr:uid="{00000000-0005-0000-0000-0000B4010000}"/>
    <cellStyle name="Gekoppelde cel" xfId="110" xr:uid="{00000000-0005-0000-0000-0000B5010000}"/>
    <cellStyle name="Goed" xfId="111" xr:uid="{00000000-0005-0000-0000-0000B6010000}"/>
    <cellStyle name="Good 2" xfId="333" xr:uid="{00000000-0005-0000-0000-0000B7010000}"/>
    <cellStyle name="H1" xfId="112" xr:uid="{00000000-0005-0000-0000-0000B8010000}"/>
    <cellStyle name="H3" xfId="113" xr:uid="{00000000-0005-0000-0000-0000B9010000}"/>
    <cellStyle name="Heading1" xfId="114" xr:uid="{00000000-0005-0000-0000-0000BA010000}"/>
    <cellStyle name="Heading2" xfId="115" xr:uid="{00000000-0005-0000-0000-0000BB010000}"/>
    <cellStyle name="Headline" xfId="116" xr:uid="{00000000-0005-0000-0000-0000BC010000}"/>
    <cellStyle name="Hyperlink" xfId="3" builtinId="8"/>
    <cellStyle name="Hyperlink 2" xfId="117" xr:uid="{00000000-0005-0000-0000-0000BE010000}"/>
    <cellStyle name="Incorreto" xfId="118" xr:uid="{00000000-0005-0000-0000-0000BF010000}"/>
    <cellStyle name="Input 2" xfId="334" xr:uid="{00000000-0005-0000-0000-0000C0010000}"/>
    <cellStyle name="InputCells12_BBorder_CRFReport-template" xfId="119" xr:uid="{00000000-0005-0000-0000-0000C1010000}"/>
    <cellStyle name="Invoer" xfId="120" xr:uid="{00000000-0005-0000-0000-0000C2010000}"/>
    <cellStyle name="Invoer 2" xfId="417" xr:uid="{00000000-0005-0000-0000-0000C3010000}"/>
    <cellStyle name="Invoer 3" xfId="498" xr:uid="{00000000-0005-0000-0000-0000C4010000}"/>
    <cellStyle name="Invoer 4" xfId="517" xr:uid="{00000000-0005-0000-0000-0000C5010000}"/>
    <cellStyle name="Invoer 5" xfId="655" xr:uid="{00000000-0005-0000-0000-0000C6010000}"/>
    <cellStyle name="Kop 1" xfId="121" xr:uid="{00000000-0005-0000-0000-0000C7010000}"/>
    <cellStyle name="Kop 2" xfId="122" xr:uid="{00000000-0005-0000-0000-0000C8010000}"/>
    <cellStyle name="Kop 3" xfId="123" xr:uid="{00000000-0005-0000-0000-0000C9010000}"/>
    <cellStyle name="Kop 4" xfId="124" xr:uid="{00000000-0005-0000-0000-0000CA010000}"/>
    <cellStyle name="Legal 8½ x 14 in" xfId="125" xr:uid="{00000000-0005-0000-0000-0000CB010000}"/>
    <cellStyle name="Linked Cell 2" xfId="335" xr:uid="{00000000-0005-0000-0000-0000CC010000}"/>
    <cellStyle name="MandOTableHeadline" xfId="126" xr:uid="{00000000-0005-0000-0000-0000CD010000}"/>
    <cellStyle name="Menu" xfId="127" xr:uid="{00000000-0005-0000-0000-0000CE010000}"/>
    <cellStyle name="NamedRange" xfId="128" xr:uid="{00000000-0005-0000-0000-0000CF010000}"/>
    <cellStyle name="Navadno_Table2(I).A-Gs1" xfId="129" xr:uid="{00000000-0005-0000-0000-0000D0010000}"/>
    <cellStyle name="Neutra" xfId="130" xr:uid="{00000000-0005-0000-0000-0000D1010000}"/>
    <cellStyle name="Neutraal" xfId="131" xr:uid="{00000000-0005-0000-0000-0000D2010000}"/>
    <cellStyle name="Neutral 2" xfId="336" xr:uid="{00000000-0005-0000-0000-0000D3010000}"/>
    <cellStyle name="Normal" xfId="0" builtinId="0"/>
    <cellStyle name="Normal 10" xfId="132" xr:uid="{00000000-0005-0000-0000-0000D5010000}"/>
    <cellStyle name="Normal 11" xfId="133" xr:uid="{00000000-0005-0000-0000-0000D6010000}"/>
    <cellStyle name="Normal 12" xfId="134" xr:uid="{00000000-0005-0000-0000-0000D7010000}"/>
    <cellStyle name="Normal 13" xfId="135" xr:uid="{00000000-0005-0000-0000-0000D8010000}"/>
    <cellStyle name="Normal 14" xfId="136" xr:uid="{00000000-0005-0000-0000-0000D9010000}"/>
    <cellStyle name="Normal 15" xfId="137" xr:uid="{00000000-0005-0000-0000-0000DA010000}"/>
    <cellStyle name="Normal 16" xfId="138" xr:uid="{00000000-0005-0000-0000-0000DB010000}"/>
    <cellStyle name="Normal 17" xfId="139" xr:uid="{00000000-0005-0000-0000-0000DC010000}"/>
    <cellStyle name="Normal 18" xfId="140" xr:uid="{00000000-0005-0000-0000-0000DD010000}"/>
    <cellStyle name="Normal 19" xfId="141" xr:uid="{00000000-0005-0000-0000-0000DE010000}"/>
    <cellStyle name="Normal 2" xfId="2" xr:uid="{00000000-0005-0000-0000-0000DF010000}"/>
    <cellStyle name="Normal 2 10" xfId="142" xr:uid="{00000000-0005-0000-0000-0000E0010000}"/>
    <cellStyle name="Normal 2 11" xfId="143" xr:uid="{00000000-0005-0000-0000-0000E1010000}"/>
    <cellStyle name="Normal 2 12" xfId="144" xr:uid="{00000000-0005-0000-0000-0000E2010000}"/>
    <cellStyle name="Normal 2 13" xfId="145" xr:uid="{00000000-0005-0000-0000-0000E3010000}"/>
    <cellStyle name="Normal 2 14" xfId="146" xr:uid="{00000000-0005-0000-0000-0000E4010000}"/>
    <cellStyle name="Normal 2 15" xfId="147" xr:uid="{00000000-0005-0000-0000-0000E5010000}"/>
    <cellStyle name="Normal 2 16" xfId="148" xr:uid="{00000000-0005-0000-0000-0000E6010000}"/>
    <cellStyle name="Normal 2 17" xfId="149" xr:uid="{00000000-0005-0000-0000-0000E7010000}"/>
    <cellStyle name="Normal 2 18" xfId="150" xr:uid="{00000000-0005-0000-0000-0000E8010000}"/>
    <cellStyle name="Normal 2 19" xfId="151" xr:uid="{00000000-0005-0000-0000-0000E9010000}"/>
    <cellStyle name="Normal 2 2" xfId="152" xr:uid="{00000000-0005-0000-0000-0000EA010000}"/>
    <cellStyle name="Normal 2 2 2" xfId="337" xr:uid="{00000000-0005-0000-0000-0000EB010000}"/>
    <cellStyle name="Normal 2 20" xfId="153" xr:uid="{00000000-0005-0000-0000-0000EC010000}"/>
    <cellStyle name="Normal 2 21" xfId="154" xr:uid="{00000000-0005-0000-0000-0000ED010000}"/>
    <cellStyle name="Normal 2 22" xfId="155" xr:uid="{00000000-0005-0000-0000-0000EE010000}"/>
    <cellStyle name="Normal 2 23" xfId="156" xr:uid="{00000000-0005-0000-0000-0000EF010000}"/>
    <cellStyle name="Normal 2 24" xfId="157" xr:uid="{00000000-0005-0000-0000-0000F0010000}"/>
    <cellStyle name="Normal 2 25" xfId="158" xr:uid="{00000000-0005-0000-0000-0000F1010000}"/>
    <cellStyle name="Normal 2 26" xfId="159" xr:uid="{00000000-0005-0000-0000-0000F2010000}"/>
    <cellStyle name="Normal 2 27" xfId="160" xr:uid="{00000000-0005-0000-0000-0000F3010000}"/>
    <cellStyle name="Normal 2 28" xfId="161" xr:uid="{00000000-0005-0000-0000-0000F4010000}"/>
    <cellStyle name="Normal 2 29" xfId="162" xr:uid="{00000000-0005-0000-0000-0000F5010000}"/>
    <cellStyle name="Normal 2 3" xfId="163" xr:uid="{00000000-0005-0000-0000-0000F6010000}"/>
    <cellStyle name="Normal 2 30" xfId="164" xr:uid="{00000000-0005-0000-0000-0000F7010000}"/>
    <cellStyle name="Normal 2 4" xfId="165" xr:uid="{00000000-0005-0000-0000-0000F8010000}"/>
    <cellStyle name="Normal 2 5" xfId="166" xr:uid="{00000000-0005-0000-0000-0000F9010000}"/>
    <cellStyle name="Normal 2 6" xfId="167" xr:uid="{00000000-0005-0000-0000-0000FA010000}"/>
    <cellStyle name="Normal 2 7" xfId="168" xr:uid="{00000000-0005-0000-0000-0000FB010000}"/>
    <cellStyle name="Normal 2 8" xfId="169" xr:uid="{00000000-0005-0000-0000-0000FC010000}"/>
    <cellStyle name="Normal 2 9" xfId="170" xr:uid="{00000000-0005-0000-0000-0000FD010000}"/>
    <cellStyle name="Normal 2_Climate_Action_Tracker_data_Non-Annex I 20091212 mhn used for input" xfId="171" xr:uid="{00000000-0005-0000-0000-0000FE010000}"/>
    <cellStyle name="Normal 20" xfId="172" xr:uid="{00000000-0005-0000-0000-0000FF010000}"/>
    <cellStyle name="Normal 21" xfId="173" xr:uid="{00000000-0005-0000-0000-000000020000}"/>
    <cellStyle name="Normal 22" xfId="174" xr:uid="{00000000-0005-0000-0000-000001020000}"/>
    <cellStyle name="Normal 23" xfId="175" xr:uid="{00000000-0005-0000-0000-000002020000}"/>
    <cellStyle name="Normal 24" xfId="354" xr:uid="{00000000-0005-0000-0000-000003020000}"/>
    <cellStyle name="Normal 3" xfId="176" xr:uid="{00000000-0005-0000-0000-000004020000}"/>
    <cellStyle name="Normal 3 2" xfId="177" xr:uid="{00000000-0005-0000-0000-000005020000}"/>
    <cellStyle name="Normal 3 3" xfId="178" xr:uid="{00000000-0005-0000-0000-000006020000}"/>
    <cellStyle name="Normal 3 4" xfId="179" xr:uid="{00000000-0005-0000-0000-000007020000}"/>
    <cellStyle name="Normal 3 5" xfId="180" xr:uid="{00000000-0005-0000-0000-000008020000}"/>
    <cellStyle name="Normal 3 6" xfId="181" xr:uid="{00000000-0005-0000-0000-000009020000}"/>
    <cellStyle name="Normal 3 7" xfId="182" xr:uid="{00000000-0005-0000-0000-00000A020000}"/>
    <cellStyle name="Normal 3_IDs for output data" xfId="183" xr:uid="{00000000-0005-0000-0000-00000B020000}"/>
    <cellStyle name="Normal 4" xfId="184" xr:uid="{00000000-0005-0000-0000-00000C020000}"/>
    <cellStyle name="Normal 4 2" xfId="338" xr:uid="{00000000-0005-0000-0000-00000D020000}"/>
    <cellStyle name="Normal 5" xfId="185" xr:uid="{00000000-0005-0000-0000-00000E020000}"/>
    <cellStyle name="Normal 5 2" xfId="339" xr:uid="{00000000-0005-0000-0000-00000F020000}"/>
    <cellStyle name="Normal 6" xfId="186" xr:uid="{00000000-0005-0000-0000-000010020000}"/>
    <cellStyle name="Normal 6 2" xfId="187" xr:uid="{00000000-0005-0000-0000-000011020000}"/>
    <cellStyle name="Normal 7" xfId="188" xr:uid="{00000000-0005-0000-0000-000012020000}"/>
    <cellStyle name="Normal 8" xfId="189" xr:uid="{00000000-0005-0000-0000-000013020000}"/>
    <cellStyle name="Normal 8 2" xfId="190" xr:uid="{00000000-0005-0000-0000-000014020000}"/>
    <cellStyle name="Normal 8_Climate_Action_Tracker_data_Non-Annex I 20091212 mhn used for input" xfId="191" xr:uid="{00000000-0005-0000-0000-000015020000}"/>
    <cellStyle name="Normal 9" xfId="192" xr:uid="{00000000-0005-0000-0000-000016020000}"/>
    <cellStyle name="Normal GHG Numbers (0.00)" xfId="193" xr:uid="{00000000-0005-0000-0000-000017020000}"/>
    <cellStyle name="Normal GHG Numbers (0.00) 2" xfId="348" xr:uid="{00000000-0005-0000-0000-000018020000}"/>
    <cellStyle name="Normal GHG Textfiels Bold" xfId="194" xr:uid="{00000000-0005-0000-0000-000019020000}"/>
    <cellStyle name="Normal GHG Textfiels Bold 2" xfId="349" xr:uid="{00000000-0005-0000-0000-00001A020000}"/>
    <cellStyle name="Normal GHG whole table" xfId="195" xr:uid="{00000000-0005-0000-0000-00001B020000}"/>
    <cellStyle name="Normal GHG whole table 2" xfId="350" xr:uid="{00000000-0005-0000-0000-00001C020000}"/>
    <cellStyle name="Normal GHG-Shade" xfId="196" xr:uid="{00000000-0005-0000-0000-00001D020000}"/>
    <cellStyle name="Normal_Brazil Deforestation" xfId="694" xr:uid="{00000000-0005-0000-0000-00001E020000}"/>
    <cellStyle name="Normale_GHG total including LULUCF_2009" xfId="197" xr:uid="{00000000-0005-0000-0000-00001F020000}"/>
    <cellStyle name="Not Locked" xfId="198" xr:uid="{00000000-0005-0000-0000-000020020000}"/>
    <cellStyle name="Nota" xfId="199" xr:uid="{00000000-0005-0000-0000-000021020000}"/>
    <cellStyle name="Nota 2" xfId="406" xr:uid="{00000000-0005-0000-0000-000022020000}"/>
    <cellStyle name="Nota 3" xfId="484" xr:uid="{00000000-0005-0000-0000-000023020000}"/>
    <cellStyle name="Nota 4" xfId="407" xr:uid="{00000000-0005-0000-0000-000024020000}"/>
    <cellStyle name="Nota 5" xfId="568" xr:uid="{00000000-0005-0000-0000-000025020000}"/>
    <cellStyle name="Note 2" xfId="200" xr:uid="{00000000-0005-0000-0000-000026020000}"/>
    <cellStyle name="Note 2 2" xfId="492" xr:uid="{00000000-0005-0000-0000-000027020000}"/>
    <cellStyle name="Note 2 3" xfId="473" xr:uid="{00000000-0005-0000-0000-000028020000}"/>
    <cellStyle name="Note 2 4" xfId="499" xr:uid="{00000000-0005-0000-0000-000029020000}"/>
    <cellStyle name="Note 2 5" xfId="613" xr:uid="{00000000-0005-0000-0000-00002A020000}"/>
    <cellStyle name="notes" xfId="201" xr:uid="{00000000-0005-0000-0000-00002B020000}"/>
    <cellStyle name="Notitie" xfId="202" xr:uid="{00000000-0005-0000-0000-00002C020000}"/>
    <cellStyle name="Notitie 2" xfId="404" xr:uid="{00000000-0005-0000-0000-00002D020000}"/>
    <cellStyle name="Notitie 3" xfId="410" xr:uid="{00000000-0005-0000-0000-00002E020000}"/>
    <cellStyle name="Notitie 4" xfId="369" xr:uid="{00000000-0005-0000-0000-00002F020000}"/>
    <cellStyle name="Notitie 5" xfId="684" xr:uid="{00000000-0005-0000-0000-000030020000}"/>
    <cellStyle name="Ongeldig" xfId="203" xr:uid="{00000000-0005-0000-0000-000031020000}"/>
    <cellStyle name="Output 2" xfId="340" xr:uid="{00000000-0005-0000-0000-000032020000}"/>
    <cellStyle name="Pattern" xfId="204" xr:uid="{00000000-0005-0000-0000-000033020000}"/>
    <cellStyle name="Pattern 2" xfId="351" xr:uid="{00000000-0005-0000-0000-000034020000}"/>
    <cellStyle name="Percent" xfId="289" builtinId="5"/>
    <cellStyle name="Percent 10" xfId="205" xr:uid="{00000000-0005-0000-0000-000036020000}"/>
    <cellStyle name="Percent 11" xfId="206" xr:uid="{00000000-0005-0000-0000-000037020000}"/>
    <cellStyle name="Percent 12" xfId="207" xr:uid="{00000000-0005-0000-0000-000038020000}"/>
    <cellStyle name="Percent 13" xfId="208" xr:uid="{00000000-0005-0000-0000-000039020000}"/>
    <cellStyle name="Percent 14" xfId="209" xr:uid="{00000000-0005-0000-0000-00003A020000}"/>
    <cellStyle name="Percent 15" xfId="210" xr:uid="{00000000-0005-0000-0000-00003B020000}"/>
    <cellStyle name="Percent 16" xfId="211" xr:uid="{00000000-0005-0000-0000-00003C020000}"/>
    <cellStyle name="Percent 17" xfId="212" xr:uid="{00000000-0005-0000-0000-00003D020000}"/>
    <cellStyle name="Percent 18" xfId="213" xr:uid="{00000000-0005-0000-0000-00003E020000}"/>
    <cellStyle name="Percent 19" xfId="214" xr:uid="{00000000-0005-0000-0000-00003F020000}"/>
    <cellStyle name="Percent 2" xfId="215" xr:uid="{00000000-0005-0000-0000-000040020000}"/>
    <cellStyle name="Percent 2 2" xfId="216" xr:uid="{00000000-0005-0000-0000-000041020000}"/>
    <cellStyle name="Percent 2 3" xfId="217" xr:uid="{00000000-0005-0000-0000-000042020000}"/>
    <cellStyle name="Percent 20" xfId="218" xr:uid="{00000000-0005-0000-0000-000043020000}"/>
    <cellStyle name="Percent 21" xfId="219" xr:uid="{00000000-0005-0000-0000-000044020000}"/>
    <cellStyle name="Percent 22" xfId="220" xr:uid="{00000000-0005-0000-0000-000045020000}"/>
    <cellStyle name="Percent 23" xfId="221" xr:uid="{00000000-0005-0000-0000-000046020000}"/>
    <cellStyle name="Percent 24" xfId="222" xr:uid="{00000000-0005-0000-0000-000047020000}"/>
    <cellStyle name="Percent 25" xfId="223" xr:uid="{00000000-0005-0000-0000-000048020000}"/>
    <cellStyle name="Percent 26" xfId="224" xr:uid="{00000000-0005-0000-0000-000049020000}"/>
    <cellStyle name="Percent 3" xfId="225" xr:uid="{00000000-0005-0000-0000-00004A020000}"/>
    <cellStyle name="Percent 4" xfId="226" xr:uid="{00000000-0005-0000-0000-00004B020000}"/>
    <cellStyle name="Percent 5" xfId="227" xr:uid="{00000000-0005-0000-0000-00004C020000}"/>
    <cellStyle name="Percent 6" xfId="228" xr:uid="{00000000-0005-0000-0000-00004D020000}"/>
    <cellStyle name="Percent 7" xfId="229" xr:uid="{00000000-0005-0000-0000-00004E020000}"/>
    <cellStyle name="Percent 8" xfId="230" xr:uid="{00000000-0005-0000-0000-00004F020000}"/>
    <cellStyle name="Percent 9" xfId="231" xr:uid="{00000000-0005-0000-0000-000050020000}"/>
    <cellStyle name="PSE_NAC" xfId="232" xr:uid="{00000000-0005-0000-0000-000051020000}"/>
    <cellStyle name="PSE1stCol" xfId="233" xr:uid="{00000000-0005-0000-0000-000052020000}"/>
    <cellStyle name="PSE1stColHead" xfId="234" xr:uid="{00000000-0005-0000-0000-000053020000}"/>
    <cellStyle name="PSE1stColHead2" xfId="235" xr:uid="{00000000-0005-0000-0000-000054020000}"/>
    <cellStyle name="PSE1stColHead3" xfId="236" xr:uid="{00000000-0005-0000-0000-000055020000}"/>
    <cellStyle name="PSE1stColYear" xfId="237" xr:uid="{00000000-0005-0000-0000-000056020000}"/>
    <cellStyle name="PSEHead1" xfId="238" xr:uid="{00000000-0005-0000-0000-000057020000}"/>
    <cellStyle name="PSEHeadYear" xfId="239" xr:uid="{00000000-0005-0000-0000-000058020000}"/>
    <cellStyle name="PSELastRow" xfId="240" xr:uid="{00000000-0005-0000-0000-000059020000}"/>
    <cellStyle name="PSEMediumRow" xfId="241" xr:uid="{00000000-0005-0000-0000-00005A020000}"/>
    <cellStyle name="PSENotes" xfId="242" xr:uid="{00000000-0005-0000-0000-00005B020000}"/>
    <cellStyle name="PSENumber" xfId="243" xr:uid="{00000000-0005-0000-0000-00005C020000}"/>
    <cellStyle name="PSENumberTwoDigit" xfId="244" xr:uid="{00000000-0005-0000-0000-00005D020000}"/>
    <cellStyle name="PSEPercent" xfId="245" xr:uid="{00000000-0005-0000-0000-00005E020000}"/>
    <cellStyle name="PSEPercentOneDigit" xfId="246" xr:uid="{00000000-0005-0000-0000-00005F020000}"/>
    <cellStyle name="PSEPercentTwoDigit" xfId="247" xr:uid="{00000000-0005-0000-0000-000060020000}"/>
    <cellStyle name="PSEPerUnit" xfId="248" xr:uid="{00000000-0005-0000-0000-000061020000}"/>
    <cellStyle name="PSETableHeadline" xfId="249" xr:uid="{00000000-0005-0000-0000-000062020000}"/>
    <cellStyle name="PSETreeParantheses" xfId="250" xr:uid="{00000000-0005-0000-0000-000063020000}"/>
    <cellStyle name="PSETreeText" xfId="251" xr:uid="{00000000-0005-0000-0000-000064020000}"/>
    <cellStyle name="PSEunit" xfId="252" xr:uid="{00000000-0005-0000-0000-000065020000}"/>
    <cellStyle name="PSEunitYear" xfId="253" xr:uid="{00000000-0005-0000-0000-000066020000}"/>
    <cellStyle name="Saída" xfId="254" xr:uid="{00000000-0005-0000-0000-000067020000}"/>
    <cellStyle name="Saída 2" xfId="378" xr:uid="{00000000-0005-0000-0000-000068020000}"/>
    <cellStyle name="Saída 3" xfId="550" xr:uid="{00000000-0005-0000-0000-000069020000}"/>
    <cellStyle name="Saída 4" xfId="365" xr:uid="{00000000-0005-0000-0000-00006A020000}"/>
    <cellStyle name="Saída 5" xfId="667" xr:uid="{00000000-0005-0000-0000-00006B020000}"/>
    <cellStyle name="semestre" xfId="255" xr:uid="{00000000-0005-0000-0000-00006C020000}"/>
    <cellStyle name="semestre 2" xfId="352" xr:uid="{00000000-0005-0000-0000-00006D020000}"/>
    <cellStyle name="Shade" xfId="256" xr:uid="{00000000-0005-0000-0000-00006E020000}"/>
    <cellStyle name="Shade 2" xfId="353" xr:uid="{00000000-0005-0000-0000-00006F020000}"/>
    <cellStyle name="Standaard_1990" xfId="341" xr:uid="{00000000-0005-0000-0000-000070020000}"/>
    <cellStyle name="Standard 2" xfId="286" xr:uid="{00000000-0005-0000-0000-000071020000}"/>
    <cellStyle name="Standard_Bold" xfId="257" xr:uid="{00000000-0005-0000-0000-000072020000}"/>
    <cellStyle name="styleColumnTitles" xfId="258" xr:uid="{00000000-0005-0000-0000-000073020000}"/>
    <cellStyle name="styleColumnTitles 2" xfId="487" xr:uid="{00000000-0005-0000-0000-000074020000}"/>
    <cellStyle name="styleColumnTitles 3" xfId="401" xr:uid="{00000000-0005-0000-0000-000075020000}"/>
    <cellStyle name="styleColumnTitles 4" xfId="561" xr:uid="{00000000-0005-0000-0000-000076020000}"/>
    <cellStyle name="styleColumnTitles 5" xfId="669" xr:uid="{00000000-0005-0000-0000-000077020000}"/>
    <cellStyle name="styleDateRange" xfId="259" xr:uid="{00000000-0005-0000-0000-000078020000}"/>
    <cellStyle name="styleDateRange 2" xfId="376" xr:uid="{00000000-0005-0000-0000-000079020000}"/>
    <cellStyle name="styleDateRange 3" xfId="467" xr:uid="{00000000-0005-0000-0000-00007A020000}"/>
    <cellStyle name="styleDateRange 4" xfId="375" xr:uid="{00000000-0005-0000-0000-00007B020000}"/>
    <cellStyle name="styleDateRange 5" xfId="693" xr:uid="{00000000-0005-0000-0000-00007C020000}"/>
    <cellStyle name="styleHidden" xfId="260" xr:uid="{00000000-0005-0000-0000-00007D020000}"/>
    <cellStyle name="styleNormal" xfId="261" xr:uid="{00000000-0005-0000-0000-00007E020000}"/>
    <cellStyle name="styleSeriesAttributes" xfId="262" xr:uid="{00000000-0005-0000-0000-00007F020000}"/>
    <cellStyle name="styleSeriesAttributes 2" xfId="374" xr:uid="{00000000-0005-0000-0000-000080020000}"/>
    <cellStyle name="styleSeriesAttributes 3" xfId="500" xr:uid="{00000000-0005-0000-0000-000081020000}"/>
    <cellStyle name="styleSeriesAttributes 4" xfId="553" xr:uid="{00000000-0005-0000-0000-000082020000}"/>
    <cellStyle name="styleSeriesAttributes 5" xfId="575" xr:uid="{00000000-0005-0000-0000-000083020000}"/>
    <cellStyle name="styleSeriesData" xfId="263" xr:uid="{00000000-0005-0000-0000-000084020000}"/>
    <cellStyle name="styleSeriesData 2" xfId="486" xr:uid="{00000000-0005-0000-0000-000085020000}"/>
    <cellStyle name="styleSeriesData 3" xfId="380" xr:uid="{00000000-0005-0000-0000-000086020000}"/>
    <cellStyle name="styleSeriesData 4" xfId="483" xr:uid="{00000000-0005-0000-0000-000087020000}"/>
    <cellStyle name="styleSeriesData 5" xfId="692" xr:uid="{00000000-0005-0000-0000-000088020000}"/>
    <cellStyle name="styleSeriesDataForecast" xfId="264" xr:uid="{00000000-0005-0000-0000-000089020000}"/>
    <cellStyle name="styleSeriesDataForecast 2" xfId="372" xr:uid="{00000000-0005-0000-0000-00008A020000}"/>
    <cellStyle name="styleSeriesDataForecast 3" xfId="466" xr:uid="{00000000-0005-0000-0000-00008B020000}"/>
    <cellStyle name="styleSeriesDataForecast 4" xfId="507" xr:uid="{00000000-0005-0000-0000-00008C020000}"/>
    <cellStyle name="styleSeriesDataForecast 5" xfId="639" xr:uid="{00000000-0005-0000-0000-00008D020000}"/>
    <cellStyle name="styleSeriesDataForecastNA" xfId="265" xr:uid="{00000000-0005-0000-0000-00008E020000}"/>
    <cellStyle name="styleSeriesDataForecastNA 2" xfId="371" xr:uid="{00000000-0005-0000-0000-00008F020000}"/>
    <cellStyle name="styleSeriesDataForecastNA 3" xfId="366" xr:uid="{00000000-0005-0000-0000-000090020000}"/>
    <cellStyle name="styleSeriesDataForecastNA 4" xfId="355" xr:uid="{00000000-0005-0000-0000-000091020000}"/>
    <cellStyle name="styleSeriesDataForecastNA 5" xfId="640" xr:uid="{00000000-0005-0000-0000-000092020000}"/>
    <cellStyle name="styleSeriesDataNA" xfId="266" xr:uid="{00000000-0005-0000-0000-000093020000}"/>
    <cellStyle name="styleSeriesDataNA 2" xfId="370" xr:uid="{00000000-0005-0000-0000-000094020000}"/>
    <cellStyle name="styleSeriesDataNA 3" xfId="546" xr:uid="{00000000-0005-0000-0000-000095020000}"/>
    <cellStyle name="styleSeriesDataNA 4" xfId="481" xr:uid="{00000000-0005-0000-0000-000096020000}"/>
    <cellStyle name="styleSeriesDataNA 5" xfId="647" xr:uid="{00000000-0005-0000-0000-000097020000}"/>
    <cellStyle name="tête chapitre" xfId="267" xr:uid="{00000000-0005-0000-0000-000098020000}"/>
    <cellStyle name="Texto de Aviso" xfId="268" xr:uid="{00000000-0005-0000-0000-000099020000}"/>
    <cellStyle name="Texto Explicativo" xfId="269" xr:uid="{00000000-0005-0000-0000-00009A020000}"/>
    <cellStyle name="Titel" xfId="270" xr:uid="{00000000-0005-0000-0000-00009B020000}"/>
    <cellStyle name="titre" xfId="271" xr:uid="{00000000-0005-0000-0000-00009C020000}"/>
    <cellStyle name="Título" xfId="272" xr:uid="{00000000-0005-0000-0000-00009D020000}"/>
    <cellStyle name="Título 1" xfId="273" xr:uid="{00000000-0005-0000-0000-00009E020000}"/>
    <cellStyle name="Título 2" xfId="274" xr:uid="{00000000-0005-0000-0000-00009F020000}"/>
    <cellStyle name="Título 3" xfId="275" xr:uid="{00000000-0005-0000-0000-0000A0020000}"/>
    <cellStyle name="Título 4" xfId="276" xr:uid="{00000000-0005-0000-0000-0000A1020000}"/>
    <cellStyle name="Totaal" xfId="277" xr:uid="{00000000-0005-0000-0000-0000A2020000}"/>
    <cellStyle name="Totaal 2" xfId="368" xr:uid="{00000000-0005-0000-0000-0000A3020000}"/>
    <cellStyle name="Totaal 3" xfId="527" xr:uid="{00000000-0005-0000-0000-0000A4020000}"/>
    <cellStyle name="Totaal 4" xfId="377" xr:uid="{00000000-0005-0000-0000-0000A5020000}"/>
    <cellStyle name="Totaal 5" xfId="651" xr:uid="{00000000-0005-0000-0000-0000A6020000}"/>
    <cellStyle name="Total 2" xfId="342" xr:uid="{00000000-0005-0000-0000-0000A7020000}"/>
    <cellStyle name="Uitvoer" xfId="278" xr:uid="{00000000-0005-0000-0000-0000A8020000}"/>
    <cellStyle name="Uitvoer 2" xfId="367" xr:uid="{00000000-0005-0000-0000-0000A9020000}"/>
    <cellStyle name="Uitvoer 3" xfId="528" xr:uid="{00000000-0005-0000-0000-0000AA020000}"/>
    <cellStyle name="Uitvoer 4" xfId="493" xr:uid="{00000000-0005-0000-0000-0000AB020000}"/>
    <cellStyle name="Uitvoer 5" xfId="648" xr:uid="{00000000-0005-0000-0000-0000AC020000}"/>
    <cellStyle name="VBACommunication" xfId="279" xr:uid="{00000000-0005-0000-0000-0000AD020000}"/>
    <cellStyle name="Verklarende tekst" xfId="280" xr:uid="{00000000-0005-0000-0000-0000AE020000}"/>
    <cellStyle name="Waarschuwingstekst" xfId="281" xr:uid="{00000000-0005-0000-0000-0000AF020000}"/>
    <cellStyle name="Währung [0]_CoAsDCol" xfId="282" xr:uid="{00000000-0005-0000-0000-0000B0020000}"/>
    <cellStyle name="Währung_CoAsDCol" xfId="283" xr:uid="{00000000-0005-0000-0000-0000B1020000}"/>
    <cellStyle name="Warning Text 2" xfId="343" xr:uid="{00000000-0005-0000-0000-0000B2020000}"/>
    <cellStyle name="Year" xfId="284" xr:uid="{00000000-0005-0000-0000-0000B3020000}"/>
    <cellStyle name="Обычный 2" xfId="287" xr:uid="{00000000-0005-0000-0000-0000B4020000}"/>
    <cellStyle name="Обычный_2++" xfId="285" xr:uid="{00000000-0005-0000-0000-0000B5020000}"/>
    <cellStyle name="標準 2" xfId="288" xr:uid="{00000000-0005-0000-0000-0000B6020000}"/>
  </cellStyles>
  <dxfs count="0"/>
  <tableStyles count="0" defaultTableStyle="TableStyleMedium2" defaultPivotStyle="PivotStyleLight16"/>
  <colors>
    <mruColors>
      <color rgb="FFFFFFCC"/>
      <color rgb="FFFF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190500</xdr:colOff>
      <xdr:row>9</xdr:row>
      <xdr:rowOff>9525</xdr:rowOff>
    </xdr:from>
    <xdr:to>
      <xdr:col>11</xdr:col>
      <xdr:colOff>662951</xdr:colOff>
      <xdr:row>36</xdr:row>
      <xdr:rowOff>178700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9300" y="3438525"/>
          <a:ext cx="5349251" cy="5312675"/>
        </a:xfrm>
        <a:prstGeom prst="rect">
          <a:avLst/>
        </a:prstGeom>
      </xdr:spPr>
    </xdr:pic>
    <xdr:clientData/>
  </xdr:twoCellAnchor>
  <xdr:twoCellAnchor editAs="oneCell">
    <xdr:from>
      <xdr:col>0</xdr:col>
      <xdr:colOff>1</xdr:colOff>
      <xdr:row>1</xdr:row>
      <xdr:rowOff>85725</xdr:rowOff>
    </xdr:from>
    <xdr:to>
      <xdr:col>10</xdr:col>
      <xdr:colOff>373199</xdr:colOff>
      <xdr:row>12</xdr:row>
      <xdr:rowOff>66675</xdr:rowOff>
    </xdr:to>
    <xdr:pic>
      <xdr:nvPicPr>
        <xdr:cNvPr id="3" name="Picture 2" descr="https://cd-links.iiasa.ac.at/Project%20documents/Templates/CD-LINKS_logo_onwhite.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76225"/>
          <a:ext cx="6469198" cy="3790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52698</xdr:colOff>
      <xdr:row>12</xdr:row>
      <xdr:rowOff>57150</xdr:rowOff>
    </xdr:from>
    <xdr:to>
      <xdr:col>3</xdr:col>
      <xdr:colOff>428626</xdr:colOff>
      <xdr:row>22</xdr:row>
      <xdr:rowOff>126805</xdr:rowOff>
    </xdr:to>
    <xdr:pic>
      <xdr:nvPicPr>
        <xdr:cNvPr id="2" name="Picture 1" descr="image001">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6273" y="2438400"/>
          <a:ext cx="4871728" cy="1974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d-links.org/wp-content/uploads/2016/06/CD-LINKS-global-exercise-protocol_secondround_for-website.pdf" TargetMode="External"/></Relationships>
</file>

<file path=xl/worksheets/_rels/sheet10.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unfccc.int/resource/docs/natc/zafnir1.pdf" TargetMode="External"/><Relationship Id="rId7" Type="http://schemas.openxmlformats.org/officeDocument/2006/relationships/vmlDrawing" Target="../drawings/vmlDrawing2.vml"/><Relationship Id="rId2" Type="http://schemas.openxmlformats.org/officeDocument/2006/relationships/hyperlink" Target="http://unfccc.int/files/national_reports/biennial_reports_and_iar/submitted_biennial_reports/application/pdf/turkey_joint_first_and_second_biennial_report.pdf" TargetMode="External"/><Relationship Id="rId1" Type="http://schemas.openxmlformats.org/officeDocument/2006/relationships/hyperlink" Target="http://unfccc.int/resource/docs/natc/argbur1.pdf" TargetMode="External"/><Relationship Id="rId6" Type="http://schemas.openxmlformats.org/officeDocument/2006/relationships/printerSettings" Target="../printerSettings/printerSettings7.bin"/><Relationship Id="rId5" Type="http://schemas.openxmlformats.org/officeDocument/2006/relationships/hyperlink" Target="http://apki.net/wp-content/uploads/2015/07/Presentasi-INDC-BAPPENAS-di-KLHK.pptx" TargetMode="External"/><Relationship Id="rId4" Type="http://schemas.openxmlformats.org/officeDocument/2006/relationships/hyperlink" Target="http://unfccc.int/resource/docs/natc/idnbur1.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hyperlink" Target="http://climateactiontracker.org/countries/saudiarabia.html" TargetMode="External"/><Relationship Id="rId7" Type="http://schemas.openxmlformats.org/officeDocument/2006/relationships/comments" Target="../comments3.xml"/><Relationship Id="rId2" Type="http://schemas.openxmlformats.org/officeDocument/2006/relationships/hyperlink" Target="file:///C:\Users\laidlawe\AppData\Local\Microsoft\Windows\INetCache\Content.Outlook\Protocol%20first%20round\planningcommission.gov.in\reports\genrep\rep_carbon2005.pdf" TargetMode="External"/><Relationship Id="rId1" Type="http://schemas.openxmlformats.org/officeDocument/2006/relationships/hyperlink" Target="file:///C:\Users\laidlawe\AppData\Local\Microsoft\Windows\INetCache\Content.Outlook\Protocol%20first%20round\unfccc.int\resource\docs\natc\chnnc2e.pdf" TargetMode="External"/><Relationship Id="rId6" Type="http://schemas.openxmlformats.org/officeDocument/2006/relationships/vmlDrawing" Target="../drawings/vmlDrawing3.vml"/><Relationship Id="rId5" Type="http://schemas.openxmlformats.org/officeDocument/2006/relationships/printerSettings" Target="../printerSettings/printerSettings11.bin"/><Relationship Id="rId4" Type="http://schemas.openxmlformats.org/officeDocument/2006/relationships/hyperlink" Target="https://www.kaust.edu.sa/assets/downloads/kicp-annual-strategic-study-appraisal-and-evaluation-of-energy-utilization-and-efficiency-in-the-ksa%202014-volume2.pdf"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unfccc.int/resource/docs/natc/idnbur1.pdf" TargetMode="External"/><Relationship Id="rId1" Type="http://schemas.openxmlformats.org/officeDocument/2006/relationships/hyperlink" Target="http://apki.net/wp-content/uploads/2015/07/Presentasi-INDC-BAPPENAS-di-KLHK.pptx" TargetMode="External"/><Relationship Id="rId4"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hyperlink" Target="http://www.fp7-advance.eu/" TargetMode="External"/><Relationship Id="rId2" Type="http://schemas.openxmlformats.org/officeDocument/2006/relationships/hyperlink" Target="http://climatepolicydatabase.org/index.php?title=CDlinks_policy_inventory" TargetMode="External"/><Relationship Id="rId1" Type="http://schemas.openxmlformats.org/officeDocument/2006/relationships/hyperlink" Target="http://www.cd-links.org/wp-content/uploads/2016/06/CD-LINKS_D2.1_Jan-2018.pdf" TargetMode="External"/><Relationship Id="rId4" Type="http://schemas.openxmlformats.org/officeDocument/2006/relationships/hyperlink" Target="http://www.fp7-advance.e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hyperlink" Target="http://www.climatepolicydatabase.org/index.php?title=Russian_Federation_CDlinks_project" TargetMode="External"/><Relationship Id="rId13" Type="http://schemas.openxmlformats.org/officeDocument/2006/relationships/hyperlink" Target="http://www.climatepolicydatabase.org/index.php?title=Indonesia_CDlinks_project" TargetMode="External"/><Relationship Id="rId18" Type="http://schemas.openxmlformats.org/officeDocument/2006/relationships/printerSettings" Target="../printerSettings/printerSettings3.bin"/><Relationship Id="rId3" Type="http://schemas.openxmlformats.org/officeDocument/2006/relationships/hyperlink" Target="http://www.climatepolicydatabase.org/index.php?title=Australia_CDlinks_project" TargetMode="External"/><Relationship Id="rId7" Type="http://schemas.openxmlformats.org/officeDocument/2006/relationships/hyperlink" Target="http://www.climatepolicydatabase.org/index.php?title=Mexico_CDlinks_project" TargetMode="External"/><Relationship Id="rId12" Type="http://schemas.openxmlformats.org/officeDocument/2006/relationships/hyperlink" Target="http://www.climatepolicydatabase.org/index.php?title=India_CDlinks_project" TargetMode="External"/><Relationship Id="rId17" Type="http://schemas.openxmlformats.org/officeDocument/2006/relationships/hyperlink" Target="http://www.climatepolicydatabase.org/index.php?title=United_States_CDlinks_project" TargetMode="External"/><Relationship Id="rId2" Type="http://schemas.openxmlformats.org/officeDocument/2006/relationships/hyperlink" Target="http://www.climatepolicydatabase.org/index.php?title=Argentina_CDlinks_project" TargetMode="External"/><Relationship Id="rId16" Type="http://schemas.openxmlformats.org/officeDocument/2006/relationships/hyperlink" Target="http://www.climatepolicydatabase.org/index.php?title=Turkey_CDlinks_project" TargetMode="External"/><Relationship Id="rId1" Type="http://schemas.openxmlformats.org/officeDocument/2006/relationships/hyperlink" Target="http://climatepolicydatabase.org/index.php?title=CDlinks_policy_inventory" TargetMode="External"/><Relationship Id="rId6" Type="http://schemas.openxmlformats.org/officeDocument/2006/relationships/hyperlink" Target="http://www.climatepolicydatabase.org/index.php?title=Japan_CDlinks_project" TargetMode="External"/><Relationship Id="rId11" Type="http://schemas.openxmlformats.org/officeDocument/2006/relationships/hyperlink" Target="http://www.climatepolicydatabase.org/index.php?title=Canada_CDlinks_project" TargetMode="External"/><Relationship Id="rId5" Type="http://schemas.openxmlformats.org/officeDocument/2006/relationships/hyperlink" Target="http://www.climatepolicydatabase.org/index.php?title=European_Union_CDlinks_project" TargetMode="External"/><Relationship Id="rId15" Type="http://schemas.openxmlformats.org/officeDocument/2006/relationships/hyperlink" Target="http://www.climatepolicydatabase.org/index.php?title=Republic_of_Korea_CDlinks_project" TargetMode="External"/><Relationship Id="rId10" Type="http://schemas.openxmlformats.org/officeDocument/2006/relationships/hyperlink" Target="http://www.climatepolicydatabase.org/index.php?title=Brazil_CDlinks_project" TargetMode="External"/><Relationship Id="rId4" Type="http://schemas.openxmlformats.org/officeDocument/2006/relationships/hyperlink" Target="http://www.climatepolicydatabase.org/index.php?title=China_CDlinks_project" TargetMode="External"/><Relationship Id="rId9" Type="http://schemas.openxmlformats.org/officeDocument/2006/relationships/hyperlink" Target="http://www.climatepolicydatabase.org/index.php?title=Saudi_Arabia_CDlinks_project" TargetMode="External"/><Relationship Id="rId14" Type="http://schemas.openxmlformats.org/officeDocument/2006/relationships/hyperlink" Target="http://www.climatepolicydatabase.org/index.php?title=South_Africa_CDlinks_project"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climatepolicydatabase.org/index.php?title=Law_26.331_for_the_Environmental_Protection_of_Native_Forests_Argentina_2007" TargetMode="External"/><Relationship Id="rId299" Type="http://schemas.openxmlformats.org/officeDocument/2006/relationships/hyperlink" Target="http://www.climatepolicydatabase.org/index.php?title=INDC_target_Brazil_2015" TargetMode="External"/><Relationship Id="rId303" Type="http://schemas.openxmlformats.org/officeDocument/2006/relationships/hyperlink" Target="http://climatepolicydatabase.org/index.php?title=Vehicle_Fuel_Economy_Standards_China_2005" TargetMode="External"/><Relationship Id="rId21" Type="http://schemas.openxmlformats.org/officeDocument/2006/relationships/hyperlink" Target="http://www.climatepolicydatabase.org/index.php?title=Integrated_Resource_Electricity_Plan_2010_%E2%80%93_2030_South_Africa_2011" TargetMode="External"/><Relationship Id="rId42" Type="http://schemas.openxmlformats.org/officeDocument/2006/relationships/hyperlink" Target="http://www.climatepolicydatabase.org/index.php?title=Inovar-Auto_Brazil_2012" TargetMode="External"/><Relationship Id="rId63" Type="http://schemas.openxmlformats.org/officeDocument/2006/relationships/hyperlink" Target="http://www.climatepolicydatabase.org/index.php?title=Perform,_Achieve,_Trade_(PAT)_Scheme_India_2011" TargetMode="External"/><Relationship Id="rId84" Type="http://schemas.openxmlformats.org/officeDocument/2006/relationships/hyperlink" Target="http://www.climatepolicydatabase.org/index.php?title=Energy_efficiency_label_and_Standard_Programme_Korea_(South)_1992" TargetMode="External"/><Relationship Id="rId138" Type="http://schemas.openxmlformats.org/officeDocument/2006/relationships/hyperlink" Target="http://climatepolicydatabase.org/index.php?title=Industrial_Energy_Performance_Standards_China_2007" TargetMode="External"/><Relationship Id="rId159" Type="http://schemas.openxmlformats.org/officeDocument/2006/relationships/hyperlink" Target="http://climatepolicydatabase.org/index.php?title=Economy-wide_INDC_target_China_2015" TargetMode="External"/><Relationship Id="rId170" Type="http://schemas.openxmlformats.org/officeDocument/2006/relationships/hyperlink" Target="http://www.climatepolicydatabase.org/index.php?title=Roadmap_to_a_single_European_transport_area" TargetMode="External"/><Relationship Id="rId191" Type="http://schemas.openxmlformats.org/officeDocument/2006/relationships/hyperlink" Target="http://climatepolicydatabase.org/index.php?title=Fuel_Quality_(Directive_2009/30/EC)" TargetMode="External"/><Relationship Id="rId205" Type="http://schemas.openxmlformats.org/officeDocument/2006/relationships/hyperlink" Target="http://climatepolicydatabase.org/index.php?title=Environmet-related_tax_on_vehicle_Japan" TargetMode="External"/><Relationship Id="rId226" Type="http://schemas.openxmlformats.org/officeDocument/2006/relationships/hyperlink" Target="http://climatepolicydatabase.org/index.php?title=4th_Strategic_Energy_Plan_Japan_2014" TargetMode="External"/><Relationship Id="rId247" Type="http://schemas.openxmlformats.org/officeDocument/2006/relationships/hyperlink" Target="http://www.climatepolicydatabase.org/index.php?title=Carbon_tax" TargetMode="External"/><Relationship Id="rId107" Type="http://schemas.openxmlformats.org/officeDocument/2006/relationships/hyperlink" Target="http://www.iea.org/beep/canada/codes/national-energy-code-of-canada-for-buildings-2011.html" TargetMode="External"/><Relationship Id="rId268" Type="http://schemas.openxmlformats.org/officeDocument/2006/relationships/hyperlink" Target="http://www.climatepolicydatabase.org/index.php?title=Energy_efficiency_legislation_(Federal_Law_261-FZ,_%C2%80%C2%9COn_Saving_Energy_and_Increasing_Energy_efficiency_Increase_and_Amending_Certain_Legislative_Acts_of_the_Russian_Federation%C2%80%C2%9D)_Russian_Federation_2009" TargetMode="External"/><Relationship Id="rId289" Type="http://schemas.openxmlformats.org/officeDocument/2006/relationships/hyperlink" Target="http://www.climatepolicydatabase.org/index.php?title=Corporate_Average_Fuel_Economy_Standards_(CAFE)_Saudi_Arabia_2013" TargetMode="External"/><Relationship Id="rId11" Type="http://schemas.openxmlformats.org/officeDocument/2006/relationships/hyperlink" Target="http://www.climatepolicydatabase.org/index.php?title=EcoENERGY_for_Renewable_Power_Canada_2007" TargetMode="External"/><Relationship Id="rId32" Type="http://schemas.openxmlformats.org/officeDocument/2006/relationships/hyperlink" Target="http://www.climatepolicydatabase.org/index.php?title=Climate_Change_Action_Plan_2011-2023_Turkey_2011" TargetMode="External"/><Relationship Id="rId53" Type="http://schemas.openxmlformats.org/officeDocument/2006/relationships/hyperlink" Target="http://www.pbl.nl/en/publications/enhanced-policy-scenarios-for-major-emitting-countries" TargetMode="External"/><Relationship Id="rId74" Type="http://schemas.openxmlformats.org/officeDocument/2006/relationships/hyperlink" Target="http://www.climatepolicydatabase.org/index.php?title=One_Million_Green_Homes" TargetMode="External"/><Relationship Id="rId128" Type="http://schemas.openxmlformats.org/officeDocument/2006/relationships/hyperlink" Target="http://climatepolicydatabase.org/index.php?title=Emissions_Reduction_Fund_Australia_2014" TargetMode="External"/><Relationship Id="rId149" Type="http://schemas.openxmlformats.org/officeDocument/2006/relationships/hyperlink" Target="http://climatepolicydatabase.org/index.php?title=National_Plan_For_Tackling_Climate_Change_2014-2020_China_2014" TargetMode="External"/><Relationship Id="rId5" Type="http://schemas.openxmlformats.org/officeDocument/2006/relationships/hyperlink" Target="https://energypedia.info/wiki/Turkey-_Energy_Efficiency_in_Buildings" TargetMode="External"/><Relationship Id="rId95" Type="http://schemas.openxmlformats.org/officeDocument/2006/relationships/hyperlink" Target="http://climatepolicydatabase.org/index.php?title=Biofuel_Blending_(Ministry_Regulation_No._25/2013)_Indonesia_2013" TargetMode="External"/><Relationship Id="rId160" Type="http://schemas.openxmlformats.org/officeDocument/2006/relationships/hyperlink" Target="http://climatepolicydatabase.org/index.php?title=Made_in_China_2025" TargetMode="External"/><Relationship Id="rId181" Type="http://schemas.openxmlformats.org/officeDocument/2006/relationships/hyperlink" Target="http://www.climatepolicydatabase.org/index.php?title=Emission_performance_standards_for_new_light_commercial_vehicles_(Regulation_(EU)_No._510/2011_European_Union_2011" TargetMode="External"/><Relationship Id="rId216" Type="http://schemas.openxmlformats.org/officeDocument/2006/relationships/hyperlink" Target="http://climatepolicydatabase.org/index.php?title=Act_on_Purchase_of_Renewable_Energy_Sourced_Electricity_by_Electric_Utilities_(Law_No._108_of_2011)_Japan_2012" TargetMode="External"/><Relationship Id="rId237" Type="http://schemas.openxmlformats.org/officeDocument/2006/relationships/hyperlink" Target="http://www.climatepolicydatabase.org/index.php?title=INDC_target_Mexico_2015" TargetMode="External"/><Relationship Id="rId258" Type="http://schemas.openxmlformats.org/officeDocument/2006/relationships/hyperlink" Target="http://www.climatepolicydatabase.org/index.php?title=Energy_Transition_Law_Mexico_2015" TargetMode="External"/><Relationship Id="rId279" Type="http://schemas.openxmlformats.org/officeDocument/2006/relationships/hyperlink" Target="http://www.climatepolicydatabase.org/index.php?title=Rules_of_Using_Thermal_Performance_of_Buildings_Russian_Federation_2003" TargetMode="External"/><Relationship Id="rId22" Type="http://schemas.openxmlformats.org/officeDocument/2006/relationships/hyperlink" Target="http://www.climatepolicydatabase.org/index.php?title=Renewable_Energy_Independent_Power_Producer_Programme_(REIPPP)_South_Africa_2011" TargetMode="External"/><Relationship Id="rId43" Type="http://schemas.openxmlformats.org/officeDocument/2006/relationships/hyperlink" Target="http://www.climatepolicydatabase.org/index.php?title=LEED_-_Building_Energy_efficiency_Brazil" TargetMode="External"/><Relationship Id="rId64" Type="http://schemas.openxmlformats.org/officeDocument/2006/relationships/hyperlink" Target="http://www.climatepolicydatabase.org/index.php?title=National_Green_India_Mission_(GIM)" TargetMode="External"/><Relationship Id="rId118" Type="http://schemas.openxmlformats.org/officeDocument/2006/relationships/hyperlink" Target="http://climatepolicydatabase.org/index.php?title=Law_26.473_Prohibiting_commercialisation_of_incandescent_light_bulbs_Argentina_2010" TargetMode="External"/><Relationship Id="rId139" Type="http://schemas.openxmlformats.org/officeDocument/2006/relationships/hyperlink" Target="http://climatepolicydatabase.org/index.php?title=Economy-wide_INDC_target_China_2015" TargetMode="External"/><Relationship Id="rId290" Type="http://schemas.openxmlformats.org/officeDocument/2006/relationships/hyperlink" Target="http://climatepolicydatabase.org/index.php?title=Renewable_Energy_Law_Turkey_2011" TargetMode="External"/><Relationship Id="rId304" Type="http://schemas.openxmlformats.org/officeDocument/2006/relationships/hyperlink" Target="http://climatepolicydatabase.org/index.php?title=Vehicle_Fuel_Economy_Standards_China_2005" TargetMode="External"/><Relationship Id="rId85" Type="http://schemas.openxmlformats.org/officeDocument/2006/relationships/hyperlink" Target="http://www.climatepolicydatabase.org/index.php?title=Greenhouse_Gas_Reduction_Roadmap" TargetMode="External"/><Relationship Id="rId150" Type="http://schemas.openxmlformats.org/officeDocument/2006/relationships/hyperlink" Target="http://climatepolicydatabase.org/index.php?title=Energy_Development_Strategy_Action_Plan_(2014-2020)_China_2014" TargetMode="External"/><Relationship Id="rId171" Type="http://schemas.openxmlformats.org/officeDocument/2006/relationships/hyperlink" Target="http://climatepolicydatabase.org/index.php?title=INDC_target_European_Union_2015" TargetMode="External"/><Relationship Id="rId192" Type="http://schemas.openxmlformats.org/officeDocument/2006/relationships/hyperlink" Target="http://climatepolicydatabase.org/index.php?title=Fuel_Quality_(Directive_2009/30/EC)" TargetMode="External"/><Relationship Id="rId206" Type="http://schemas.openxmlformats.org/officeDocument/2006/relationships/hyperlink" Target="http://climatepolicydatabase.org/index.php?title=Act_Partially_Amending_the_Law_on_Special_Tax_Measures_(Tax_Reform_Act_2012)_(Law_No._16_of_2012)_Japan_2012" TargetMode="External"/><Relationship Id="rId227" Type="http://schemas.openxmlformats.org/officeDocument/2006/relationships/hyperlink" Target="http://climatepolicydatabase.org/index.php?title=4th_Strategic_Energy_Plan_Japan_2014" TargetMode="External"/><Relationship Id="rId248" Type="http://schemas.openxmlformats.org/officeDocument/2006/relationships/hyperlink" Target="http://www.climatepolicydatabase.org/index.php?title=General_Law_for_Sustainable_Forest_Development_Mexico_2003" TargetMode="External"/><Relationship Id="rId269" Type="http://schemas.openxmlformats.org/officeDocument/2006/relationships/hyperlink" Target="http://www.climatepolicydatabase.org/index.php?title=Energy_Strategy_to_2030_Russian_Federation_2009" TargetMode="External"/><Relationship Id="rId12" Type="http://schemas.openxmlformats.org/officeDocument/2006/relationships/hyperlink" Target="http://www.climatepolicydatabase.org/index.php?title=Reduction_of_Carbon_Dioxide_Emissions_from_Coal-fired_Generation_of_Electricity_Regulations" TargetMode="External"/><Relationship Id="rId33" Type="http://schemas.openxmlformats.org/officeDocument/2006/relationships/hyperlink" Target="http://www.climatepolicydatabase.org/index.php?title=National_Renewable_Energy_Action_Plan_for_Turkey" TargetMode="External"/><Relationship Id="rId108" Type="http://schemas.openxmlformats.org/officeDocument/2006/relationships/hyperlink" Target="http://www.theicct.org/sites/default/files/info-tools/pvstds/Canada_PVstds-facts_jan2015.pdf" TargetMode="External"/><Relationship Id="rId129" Type="http://schemas.openxmlformats.org/officeDocument/2006/relationships/hyperlink" Target="http://climatepolicydatabase.org/index.php?title=Energy_Productivity_Plan" TargetMode="External"/><Relationship Id="rId280" Type="http://schemas.openxmlformats.org/officeDocument/2006/relationships/hyperlink" Target="http://climatepolicydatabase.org/index.php?title=National_Strategy_of_Forestry_Development_by_2020_Russian_Federation_2008" TargetMode="External"/><Relationship Id="rId54" Type="http://schemas.openxmlformats.org/officeDocument/2006/relationships/hyperlink" Target="http://climatepolicydatabase.org/index.php?title=Biofuel_INDC_target_Brazil_2015" TargetMode="External"/><Relationship Id="rId75" Type="http://schemas.openxmlformats.org/officeDocument/2006/relationships/hyperlink" Target="http://www.climatepolicydatabase.org/index.php?title=Renewable_Portfolio_Standard_(RPS)_Korea_(South)_2012" TargetMode="External"/><Relationship Id="rId96" Type="http://schemas.openxmlformats.org/officeDocument/2006/relationships/hyperlink" Target="http://climatepolicydatabase.org/index.php?title=National_Energy_Policy_(Government_Regulation_No._79/2014)_Indonesia_2014" TargetMode="External"/><Relationship Id="rId140" Type="http://schemas.openxmlformats.org/officeDocument/2006/relationships/hyperlink" Target="http://climatepolicydatabase.org/index.php?title=13th_Five-Year_Plan_(2016-2020)" TargetMode="External"/><Relationship Id="rId161" Type="http://schemas.openxmlformats.org/officeDocument/2006/relationships/hyperlink" Target="http://climatepolicydatabase.org/index.php?title=Made_in_China_2025" TargetMode="External"/><Relationship Id="rId182" Type="http://schemas.openxmlformats.org/officeDocument/2006/relationships/hyperlink" Target="http://www.climatepolicydatabase.org/index.php?title=Emission_performance_standards_for_new_light_commercial_vehicles_(Regulation_(EU)_No._510/2011_European_Union_2011" TargetMode="External"/><Relationship Id="rId217" Type="http://schemas.openxmlformats.org/officeDocument/2006/relationships/hyperlink" Target="http://climatepolicydatabase.org/index.php?title=Act_on_Purchase_of_Renewable_Energy_Sourced_Electricity_by_Electric_Utilities_(Law_No._108_of_2011)_Japan_2012" TargetMode="External"/><Relationship Id="rId6" Type="http://schemas.openxmlformats.org/officeDocument/2006/relationships/hyperlink" Target="http://www.climatepolicydatabase.org/index.php?title=On-road_vehicles_and_engine_emissions_regulations_Canada_2004" TargetMode="External"/><Relationship Id="rId238" Type="http://schemas.openxmlformats.org/officeDocument/2006/relationships/hyperlink" Target="http://www.climatepolicydatabase.org/index.php?title=Special_Programme_on_Climate_Change_2014-2018" TargetMode="External"/><Relationship Id="rId259" Type="http://schemas.openxmlformats.org/officeDocument/2006/relationships/hyperlink" Target="http://www.climatepolicydatabase.org/index.php?title=Performance_criteria_and_application_for_flaring_and_ventilation_of_natural_gas_(CNH.06.001/09)" TargetMode="External"/><Relationship Id="rId23" Type="http://schemas.openxmlformats.org/officeDocument/2006/relationships/hyperlink" Target="http://www.climatepolicydatabase.org/index.php?title=National_Building_Regulation_2011_South_Africa_2011" TargetMode="External"/><Relationship Id="rId119" Type="http://schemas.openxmlformats.org/officeDocument/2006/relationships/hyperlink" Target="http://climatepolicydatabase.org/index.php?title=PROBIOMASA:_Project_for_the_Promotion_of_Energy_from_Biomass_Argentina_2013" TargetMode="External"/><Relationship Id="rId270" Type="http://schemas.openxmlformats.org/officeDocument/2006/relationships/hyperlink" Target="http://www.climatepolicydatabase.org/index.php?title=Energy_Strategy_to_2030_Russian_Federation_2009" TargetMode="External"/><Relationship Id="rId291" Type="http://schemas.openxmlformats.org/officeDocument/2006/relationships/hyperlink" Target="http://www.climatepolicydatabase.org/index.php?title=National_Renewable_Energy_Action_Plan_for_Turkey" TargetMode="External"/><Relationship Id="rId305" Type="http://schemas.openxmlformats.org/officeDocument/2006/relationships/hyperlink" Target="http://climatepolicydatabase.org/index.php?title=Electricity_Supply_Business_Plan_(RUPTL)_(2016-2025)" TargetMode="External"/><Relationship Id="rId44" Type="http://schemas.openxmlformats.org/officeDocument/2006/relationships/hyperlink" Target="http://www.climatepolicydatabase.org/index.php?title=Action_Plan_for_Deforestation_Prevention_and_Control_in_the_Legal_Amazon_(PPCDAm)" TargetMode="External"/><Relationship Id="rId65" Type="http://schemas.openxmlformats.org/officeDocument/2006/relationships/hyperlink" Target="http://www.climatepolicydatabase.org/index.php?title=Green_Highways_(Plantation,_Transplantation,_Beautification_%26_Maintenance)_Policy-2015_India" TargetMode="External"/><Relationship Id="rId86" Type="http://schemas.openxmlformats.org/officeDocument/2006/relationships/hyperlink" Target="http://www.climatepolicydatabase.org/index.php?title=Greenhouse_Gas_Reduction_Roadmap" TargetMode="External"/><Relationship Id="rId130" Type="http://schemas.openxmlformats.org/officeDocument/2006/relationships/hyperlink" Target="http://climatepolicydatabase.org/index.php?title=20_Million_Trees_Australia" TargetMode="External"/><Relationship Id="rId151" Type="http://schemas.openxmlformats.org/officeDocument/2006/relationships/hyperlink" Target="http://climatepolicydatabase.org/index.php?title=Energy_Development_Strategy_Action_Plan_(2014-2020)_China_2014" TargetMode="External"/><Relationship Id="rId172" Type="http://schemas.openxmlformats.org/officeDocument/2006/relationships/hyperlink" Target="http://climatepolicydatabase.org/index.php?title=2020_Climate_and_Energy_Package_European_Union_2009" TargetMode="External"/><Relationship Id="rId193" Type="http://schemas.openxmlformats.org/officeDocument/2006/relationships/hyperlink" Target="http://climatepolicydatabase.org/index.php?title=Directive_(EU)_2015/1513_amending_Directive_98/70/EC_relating_to_the_quality_of_petrol_and_diesel_fuels_and_amending_Directive_2009/28/EC_on_the_promotion_of_the_use_of_energy_from_renewable_sources" TargetMode="External"/><Relationship Id="rId207" Type="http://schemas.openxmlformats.org/officeDocument/2006/relationships/hyperlink" Target="http://climatepolicydatabase.org/index.php?title=Act_Partially_Amending_the_Law_on_Special_Tax_Measures_(Tax_Reform_Act_2012)_(Law_No._16_of_2012)_Japan_2012" TargetMode="External"/><Relationship Id="rId228" Type="http://schemas.openxmlformats.org/officeDocument/2006/relationships/hyperlink" Target="http://climatepolicydatabase.org/index.php?title=4th_Strategic_Energy_Plan_Japan_2014" TargetMode="External"/><Relationship Id="rId249" Type="http://schemas.openxmlformats.org/officeDocument/2006/relationships/hyperlink" Target="http://www.climatepolicydatabase.org/index.php?title=General_Law_for_Sustainable_Forest_Development_Mexico_2003" TargetMode="External"/><Relationship Id="rId13" Type="http://schemas.openxmlformats.org/officeDocument/2006/relationships/hyperlink" Target="http://www.climatepolicydatabase.org/index.php?title=EcoENERGY_Efficiency_program" TargetMode="External"/><Relationship Id="rId109" Type="http://schemas.openxmlformats.org/officeDocument/2006/relationships/hyperlink" Target="http://www.nrcan.gc.ca/energy/efficiency/housing/new-homes/energy-star/14178" TargetMode="External"/><Relationship Id="rId260" Type="http://schemas.openxmlformats.org/officeDocument/2006/relationships/hyperlink" Target="http://climatepolicydatabase.org/index.php?title=Renewable_energy_auction_scheme_Mexico_2016" TargetMode="External"/><Relationship Id="rId281" Type="http://schemas.openxmlformats.org/officeDocument/2006/relationships/hyperlink" Target="http://www.climatepolicydatabase.org/index.php?title=National_Energy_efficiency_Programme_2008_Saudi_Arabia_2008" TargetMode="External"/><Relationship Id="rId34" Type="http://schemas.openxmlformats.org/officeDocument/2006/relationships/hyperlink" Target="http://www.climatepolicydatabase.org/index.php?title=Act_No._5346_on_Utilization_of_Renewable_Energy_Sources_for_the_Purposes_of_Generating_Electrical_Energy_(Renewable_Energy_Law)_Turkey_2005" TargetMode="External"/><Relationship Id="rId55" Type="http://schemas.openxmlformats.org/officeDocument/2006/relationships/hyperlink" Target="http://climatepolicydatabase.org/index.php?title=Energy_efficiency_INDC_target_Brazil_2015" TargetMode="External"/><Relationship Id="rId76" Type="http://schemas.openxmlformats.org/officeDocument/2006/relationships/hyperlink" Target="http://www.climatepolicydatabase.org/index.php?title=7th_Basic_Plan_for_Long-Term_Electricity_Supply_and_Demand_2015-2029" TargetMode="External"/><Relationship Id="rId97" Type="http://schemas.openxmlformats.org/officeDocument/2006/relationships/hyperlink" Target="http://climatepolicydatabase.org/index.php?title=National_Energy_Policy_(Government_Regulation_No._79/2014)_Indonesia_2014" TargetMode="External"/><Relationship Id="rId120" Type="http://schemas.openxmlformats.org/officeDocument/2006/relationships/hyperlink" Target="http://climatepolicydatabase.org/index.php?title=PROBIOMASA:_Project_for_the_Promotion_of_Energy_from_Biomass_Argentina_2013" TargetMode="External"/><Relationship Id="rId141" Type="http://schemas.openxmlformats.org/officeDocument/2006/relationships/hyperlink" Target="http://climatepolicydatabase.org/index.php?title=2012_Renewable_Energy_Electricity_feed-in_tariff_China_2012" TargetMode="External"/><Relationship Id="rId7" Type="http://schemas.openxmlformats.org/officeDocument/2006/relationships/hyperlink" Target="http://www.climatepolicydatabase.org/index.php?title=Heavy-duty_Vehicle_and_Engine_Greenhouse_Gas_Emission_Regulations_Canada_2014" TargetMode="External"/><Relationship Id="rId162" Type="http://schemas.openxmlformats.org/officeDocument/2006/relationships/hyperlink" Target="http://climatepolicydatabase.org/index.php?title=Medium_and_Long_Term_Development_Plan_for_Renewable_Energy_China_2007" TargetMode="External"/><Relationship Id="rId183" Type="http://schemas.openxmlformats.org/officeDocument/2006/relationships/hyperlink" Target="http://www.climatepolicydatabase.org/index.php?title=Energy_efficiency_(Directive_2012/27/EU_on_Energy_efficiency,_amending_Directives_2009/125/EC_and_2010/30/EU_and_repealing_Directives_2004/8/EC_and_2006/32/EC)_European_Union_2012" TargetMode="External"/><Relationship Id="rId218" Type="http://schemas.openxmlformats.org/officeDocument/2006/relationships/hyperlink" Target="http://climatepolicydatabase.org/index.php?title=Act_on_Purchase_of_Renewable_Energy_Sourced_Electricity_by_Electric_Utilities_(Law_No._108_of_2011)_Japan_2012" TargetMode="External"/><Relationship Id="rId239" Type="http://schemas.openxmlformats.org/officeDocument/2006/relationships/hyperlink" Target="http://www.climatepolicydatabase.org/index.php?title=Special_Programme_on_Climate_Change_2014-2018" TargetMode="External"/><Relationship Id="rId250" Type="http://schemas.openxmlformats.org/officeDocument/2006/relationships/hyperlink" Target="http://www.climatepolicydatabase.org/index.php?title=General_Law_for_Sustainable_Forest_Development_Mexico_2003" TargetMode="External"/><Relationship Id="rId271" Type="http://schemas.openxmlformats.org/officeDocument/2006/relationships/hyperlink" Target="http://www.climatepolicydatabase.org/index.php?title=Energy_Strategy_to_2030_Russian_Federation_2009" TargetMode="External"/><Relationship Id="rId292" Type="http://schemas.openxmlformats.org/officeDocument/2006/relationships/hyperlink" Target="http://www.climatepolicydatabase.org/index.php?title=INDC_target_Turkey_2015" TargetMode="External"/><Relationship Id="rId306" Type="http://schemas.openxmlformats.org/officeDocument/2006/relationships/hyperlink" Target="http://climatepolicydatabase.org/index.php?title=Electricity_Supply_Business_Plan_(RUPTL)_(2016-2025)" TargetMode="External"/><Relationship Id="rId24" Type="http://schemas.openxmlformats.org/officeDocument/2006/relationships/hyperlink" Target="http://www.climatepolicydatabase.org/index.php?title=Integrated_Resource_Electricity_Plan_2010_%E2%80%93_2030_South_Africa_2011" TargetMode="External"/><Relationship Id="rId40" Type="http://schemas.openxmlformats.org/officeDocument/2006/relationships/hyperlink" Target="http://www.climatepolicydatabase.org/index.php?title=National_Biodiesel_Programme_(PNPB)" TargetMode="External"/><Relationship Id="rId45" Type="http://schemas.openxmlformats.org/officeDocument/2006/relationships/hyperlink" Target="http://www.climatepolicydatabase.org/index.php?title=Action_Plan_for_Deforestation_Prevention_and_Control_of_Deforestation_and_Burning_in_the_Cerrados_(PPCerrados)" TargetMode="External"/><Relationship Id="rId66" Type="http://schemas.openxmlformats.org/officeDocument/2006/relationships/hyperlink" Target="http://www.climatepolicydatabase.org/index.php?title=National_Electric_Mobility_Mission_Plan_2020" TargetMode="External"/><Relationship Id="rId87" Type="http://schemas.openxmlformats.org/officeDocument/2006/relationships/hyperlink" Target="http://www.climatepolicydatabase.org/index.php?title=Greenhouse_Gas_Reduction_Roadmap" TargetMode="External"/><Relationship Id="rId110" Type="http://schemas.openxmlformats.org/officeDocument/2006/relationships/hyperlink" Target="http://www.climatepolicydatabase.org/index.php?title=Roadmap_to_a_single_European_transport_area" TargetMode="External"/><Relationship Id="rId115" Type="http://schemas.openxmlformats.org/officeDocument/2006/relationships/hyperlink" Target="http://climatepolicydatabase.org/index.php?title=Law_27191_on_renewable_energy" TargetMode="External"/><Relationship Id="rId131" Type="http://schemas.openxmlformats.org/officeDocument/2006/relationships/hyperlink" Target="http://climatepolicydatabase.org/index.php?title=HFC_emissions_reduction_target_Australia_2016" TargetMode="External"/><Relationship Id="rId136" Type="http://schemas.openxmlformats.org/officeDocument/2006/relationships/hyperlink" Target="http://climatepolicydatabase.org/index.php?title=Greenhouse_and_Energy_Minimum_Standards_Act_2012_Australia_2012" TargetMode="External"/><Relationship Id="rId157" Type="http://schemas.openxmlformats.org/officeDocument/2006/relationships/hyperlink" Target="http://climatepolicydatabase.org/index.php?title=National_Building_Energy_Standard_China_2008" TargetMode="External"/><Relationship Id="rId178" Type="http://schemas.openxmlformats.org/officeDocument/2006/relationships/hyperlink" Target="http://www.climatepolicydatabase.org/index.php?title=Roadmap_to_a_single_European_transport_area" TargetMode="External"/><Relationship Id="rId301" Type="http://schemas.openxmlformats.org/officeDocument/2006/relationships/hyperlink" Target="http://www.climatepolicydatabase.org/index.php?title=Special_Programme_on_Climate_Change_2014-2018" TargetMode="External"/><Relationship Id="rId61" Type="http://schemas.openxmlformats.org/officeDocument/2006/relationships/hyperlink" Target="http://www.climatepolicydatabase.org/index.php?title=National_Wind_Mission_India" TargetMode="External"/><Relationship Id="rId82" Type="http://schemas.openxmlformats.org/officeDocument/2006/relationships/hyperlink" Target="http://www.climatepolicydatabase.org/index.php?title=Building_Energy_Code(Building_Standards_-_New_Building)_Korea_(South)" TargetMode="External"/><Relationship Id="rId152" Type="http://schemas.openxmlformats.org/officeDocument/2006/relationships/hyperlink" Target="http://climatepolicydatabase.org/index.php?title=Energy_Development_Strategy_Action_Plan_(2014-2020)_China_2014" TargetMode="External"/><Relationship Id="rId173" Type="http://schemas.openxmlformats.org/officeDocument/2006/relationships/hyperlink" Target="http://climatepolicydatabase.org/index.php?title=2020_Climate_and_Energy_Package_European_Union_2009" TargetMode="External"/><Relationship Id="rId194" Type="http://schemas.openxmlformats.org/officeDocument/2006/relationships/hyperlink" Target="http://climatepolicydatabase.org/index.php?title=Directive_(EU)_2015/1513_amending_Directive_98/70/EC_relating_to_the_quality_of_petrol_and_diesel_fuels_and_amending_Directive_2009/28/EC_on_the_promotion_of_the_use_of_energy_from_renewable_sources" TargetMode="External"/><Relationship Id="rId199" Type="http://schemas.openxmlformats.org/officeDocument/2006/relationships/hyperlink" Target="http://climatepolicydatabase.org/index.php?title=Timber_Regulation_(No_995/2010)" TargetMode="External"/><Relationship Id="rId203" Type="http://schemas.openxmlformats.org/officeDocument/2006/relationships/hyperlink" Target="http://climatepolicydatabase.org/index.php?title=Fuel_Efficiency_Standards_for_Vehicles_-_Top_Runner_Program_Japan_1979" TargetMode="External"/><Relationship Id="rId208" Type="http://schemas.openxmlformats.org/officeDocument/2006/relationships/hyperlink" Target="http://climatepolicydatabase.org/index.php?title=Act_Partially_Amending_the_Law_on_Special_Tax_Measures_(Tax_Reform_Act_2012)_(Law_No._16_of_2012)_Japan_2012" TargetMode="External"/><Relationship Id="rId229" Type="http://schemas.openxmlformats.org/officeDocument/2006/relationships/hyperlink" Target="http://climatepolicydatabase.org/index.php?title=4th_Strategic_Energy_Plan_Japan_2014" TargetMode="External"/><Relationship Id="rId19" Type="http://schemas.openxmlformats.org/officeDocument/2006/relationships/hyperlink" Target="http://www.climatepolicydatabase.org/index.php?title=Integrated_Resource_Electricity_Plan_2010_%E2%80%93_2030_South_Africa_2011" TargetMode="External"/><Relationship Id="rId224" Type="http://schemas.openxmlformats.org/officeDocument/2006/relationships/hyperlink" Target="http://climatepolicydatabase.org/index.php?title=2030_Outlook_for_Energy_Supply_and_Demand_Japan_2005" TargetMode="External"/><Relationship Id="rId240" Type="http://schemas.openxmlformats.org/officeDocument/2006/relationships/hyperlink" Target="http://www.climatepolicydatabase.org/index.php?title=National_Programme_for_Sustainable_Use_of_Energy_2014-2018" TargetMode="External"/><Relationship Id="rId245" Type="http://schemas.openxmlformats.org/officeDocument/2006/relationships/hyperlink" Target="http://www.climatepolicydatabase.org/index.php?title=Energy_Reform_Package_Mexico_2013" TargetMode="External"/><Relationship Id="rId261" Type="http://schemas.openxmlformats.org/officeDocument/2006/relationships/hyperlink" Target="http://www.climatepolicydatabase.org/index.php?title=INDC_target_Russian_Federation_2015" TargetMode="External"/><Relationship Id="rId266" Type="http://schemas.openxmlformats.org/officeDocument/2006/relationships/hyperlink" Target="http://www.climatepolicydatabase.org/index.php?title=State_Program_on_Energy_efficiency_and_Energy_Development_(approved_by_Government_Decree_No_321)_Russian_Federation_2014" TargetMode="External"/><Relationship Id="rId287" Type="http://schemas.openxmlformats.org/officeDocument/2006/relationships/hyperlink" Target="http://www.climatepolicydatabase.org/index.php?title=10th_Development_Plan_Saudi_Arabia_(2015-2019)" TargetMode="External"/><Relationship Id="rId14" Type="http://schemas.openxmlformats.org/officeDocument/2006/relationships/hyperlink" Target="http://www.climatepolicydatabase.org/index.php?title=Amendment_12B_to_the_Energy_efficiency_Regulations_Canada_2013" TargetMode="External"/><Relationship Id="rId30" Type="http://schemas.openxmlformats.org/officeDocument/2006/relationships/hyperlink" Target="http://www.climatepolicydatabase.org/index.php?title=Energy_efficiency_Strategy_Paper_2012-2023_Turkey_2012" TargetMode="External"/><Relationship Id="rId35" Type="http://schemas.openxmlformats.org/officeDocument/2006/relationships/hyperlink" Target="http://www.climatepolicydatabase.org/index.php?title=Regulation_on_Energy_Performance_in_Buildings_Turkey_2007" TargetMode="External"/><Relationship Id="rId56" Type="http://schemas.openxmlformats.org/officeDocument/2006/relationships/hyperlink" Target="http://climatepolicydatabase.org/index.php?title=INDC_LULUCF_policy" TargetMode="External"/><Relationship Id="rId77" Type="http://schemas.openxmlformats.org/officeDocument/2006/relationships/hyperlink" Target="http://www.climatepolicydatabase.org/index.php?title=7th_Basic_Plan_for_Long-Term_Electricity_Supply_and_Demand_2015-2029" TargetMode="External"/><Relationship Id="rId100" Type="http://schemas.openxmlformats.org/officeDocument/2006/relationships/hyperlink" Target="http://climatepolicydatabase.org/index.php?title=Electricity_Supply_Business_Plan_(RUPTL)_(2016-2025)" TargetMode="External"/><Relationship Id="rId105" Type="http://schemas.openxmlformats.org/officeDocument/2006/relationships/hyperlink" Target="http://climatepolicydatabase.org/index.php?title=National_Energy_Policy_(Government_Regulation_No._79/2014)_Indonesia_2014" TargetMode="External"/><Relationship Id="rId126" Type="http://schemas.openxmlformats.org/officeDocument/2006/relationships/hyperlink" Target="http://climatepolicydatabase.org/index.php?title=Renewable_Energy_(Electricity)_Act_2000_and_associated_legislation" TargetMode="External"/><Relationship Id="rId147" Type="http://schemas.openxmlformats.org/officeDocument/2006/relationships/hyperlink" Target="http://climatepolicydatabase.org/index.php?title=Energy_Development_Strategy_Action_Plan_(2014-2020)_China_2014" TargetMode="External"/><Relationship Id="rId168" Type="http://schemas.openxmlformats.org/officeDocument/2006/relationships/hyperlink" Target="http://climatepolicydatabase.org/index.php?title=National_Plan_For_Tackling_Climate_Change_2014-2020_China_2014" TargetMode="External"/><Relationship Id="rId282" Type="http://schemas.openxmlformats.org/officeDocument/2006/relationships/hyperlink" Target="http://www.climatepolicydatabase.org/index.php?title=Royal_Decree_establishing_King_Abdullah_City_for_Atomic_and_Renewable_Energy_2010_Saudi_Arabia_2010" TargetMode="External"/><Relationship Id="rId8" Type="http://schemas.openxmlformats.org/officeDocument/2006/relationships/hyperlink" Target="http://www.climatepolicydatabase.org/index.php?title=Renewable_Fuels_Regulations_(Biofuels_Bill)_Canada_2008" TargetMode="External"/><Relationship Id="rId51" Type="http://schemas.openxmlformats.org/officeDocument/2006/relationships/hyperlink" Target="http://www.climatepolicydatabase.org/index.php?title=Luz_del_Camp_(Ligth_for_All)" TargetMode="External"/><Relationship Id="rId72" Type="http://schemas.openxmlformats.org/officeDocument/2006/relationships/hyperlink" Target="http://mnre.gov.in/file-manager/UserFiles/Tentative-State-wise-break-up-of-Renewable-Power-by-2022.pdf" TargetMode="External"/><Relationship Id="rId93" Type="http://schemas.openxmlformats.org/officeDocument/2006/relationships/hyperlink" Target="http://climatepolicydatabase.org/index.php?title=Moratorium_on_the_issuance_of_new_conversion_permits_for_primary_forest_and_peatlands" TargetMode="External"/><Relationship Id="rId98" Type="http://schemas.openxmlformats.org/officeDocument/2006/relationships/hyperlink" Target="http://climatepolicydatabase.org/index.php?title=INDC_target_Indonesia_2015" TargetMode="External"/><Relationship Id="rId121" Type="http://schemas.openxmlformats.org/officeDocument/2006/relationships/hyperlink" Target="http://climatepolicydatabase.org/index.php?title=National_Program_for_Rational_and_Efficient_Use_of_Energy_(PRONUREE)_Argentina_2007" TargetMode="External"/><Relationship Id="rId142" Type="http://schemas.openxmlformats.org/officeDocument/2006/relationships/hyperlink" Target="http://climatepolicydatabase.org/index.php?title=2012_Renewable_Energy_Electricity_feed-in_tariff_China_2012" TargetMode="External"/><Relationship Id="rId163" Type="http://schemas.openxmlformats.org/officeDocument/2006/relationships/hyperlink" Target="http://climatepolicydatabase.org/index.php?title=Medium_and_Long-term_Plan_of_Energy_Conservation:_10_Energy_Conservation_Programmes_China_2004" TargetMode="External"/><Relationship Id="rId184" Type="http://schemas.openxmlformats.org/officeDocument/2006/relationships/hyperlink" Target="http://www.climatepolicydatabase.org/index.php?title=Revision_of_the_EU_Emission_Trading_System_(EU_ETS)_(Directive_2009/29/EC_amending_Directive_2003/87/EC)" TargetMode="External"/><Relationship Id="rId189" Type="http://schemas.openxmlformats.org/officeDocument/2006/relationships/hyperlink" Target="http://climatepolicydatabase.org/index.php?title=Emission_performance_standards_for_new_passenger_cars_(Regulation_(EC)_No._443/2009" TargetMode="External"/><Relationship Id="rId219" Type="http://schemas.openxmlformats.org/officeDocument/2006/relationships/hyperlink" Target="http://climatepolicydatabase.org/index.php?title=Act_on_Purchase_of_Renewable_Energy_Sourced_Electricity_by_Electric_Utilities_(Law_No._108_of_2011)_Japan_2012" TargetMode="External"/><Relationship Id="rId3" Type="http://schemas.openxmlformats.org/officeDocument/2006/relationships/hyperlink" Target="http://www.theicct.org/sites/default/files/publications/ICCTpolicyupdate14_USHDV_final.pdf" TargetMode="External"/><Relationship Id="rId214" Type="http://schemas.openxmlformats.org/officeDocument/2006/relationships/hyperlink" Target="http://climatepolicydatabase.org/index.php?title=Act_on_Purchase_of_Renewable_Energy_Sourced_Electricity_by_Electric_Utilities_(Law_No._108_of_2011)_Japan_2012" TargetMode="External"/><Relationship Id="rId230" Type="http://schemas.openxmlformats.org/officeDocument/2006/relationships/hyperlink" Target="http://climatepolicydatabase.org/index.php?title=Act_on_Purchase_of_Renewable_Energy_Sourced_Electricity_by_Electric_Utilities_(Law_No._108_of_2011)_Japan_2012" TargetMode="External"/><Relationship Id="rId235" Type="http://schemas.openxmlformats.org/officeDocument/2006/relationships/hyperlink" Target="http://www.climatepolicydatabase.org/index.php?title=Light_Duty_Vehicles_CO2_Emissions_Standards_Mexico_2013" TargetMode="External"/><Relationship Id="rId251" Type="http://schemas.openxmlformats.org/officeDocument/2006/relationships/hyperlink" Target="http://www.climatepolicydatabase.org/index.php?title=General_Law_for_Sustainable_Forest_Development_Mexico_2003" TargetMode="External"/><Relationship Id="rId256" Type="http://schemas.openxmlformats.org/officeDocument/2006/relationships/hyperlink" Target="http://www.climatepolicydatabase.org/index.php?title=Energy_Transition_Law_Mexico_2015" TargetMode="External"/><Relationship Id="rId277" Type="http://schemas.openxmlformats.org/officeDocument/2006/relationships/hyperlink" Target="http://www.climatepolicydatabase.org/index.php?title=Decree_No._449_on_the_Mechanism_for_the_Promotion_of_Renewable_Energy_on_the_Wholesale_Electricity_and_Market_Russian_Federation_2013" TargetMode="External"/><Relationship Id="rId298" Type="http://schemas.openxmlformats.org/officeDocument/2006/relationships/hyperlink" Target="http://www.climatepolicydatabase.org/index.php?title=Economy-wide_INDC_target_Canada_2015" TargetMode="External"/><Relationship Id="rId25" Type="http://schemas.openxmlformats.org/officeDocument/2006/relationships/hyperlink" Target="http://www.climatepolicydatabase.org/index.php?title=National_Development_Plan" TargetMode="External"/><Relationship Id="rId46" Type="http://schemas.openxmlformats.org/officeDocument/2006/relationships/hyperlink" Target="http://www.climatepolicydatabase.org/index.php?title=Ban_on_incandescent_light_bulbs" TargetMode="External"/><Relationship Id="rId67" Type="http://schemas.openxmlformats.org/officeDocument/2006/relationships/hyperlink" Target="http://www.climatepolicydatabase.org/index.php?title=Government_Assistance_for_Small_Hydropower_Stations_India_2003" TargetMode="External"/><Relationship Id="rId116" Type="http://schemas.openxmlformats.org/officeDocument/2006/relationships/hyperlink" Target="http://climatepolicydatabase.org/index.php?title=Law_27191_on_renewable_energy" TargetMode="External"/><Relationship Id="rId137" Type="http://schemas.openxmlformats.org/officeDocument/2006/relationships/hyperlink" Target="http://climatepolicydatabase.org/index.php?title=Vehicle_Fuel_Economy_Standards_China_2005" TargetMode="External"/><Relationship Id="rId158" Type="http://schemas.openxmlformats.org/officeDocument/2006/relationships/hyperlink" Target="http://climatepolicydatabase.org/index.php?title=Economy-wide_INDC_target_China_2015" TargetMode="External"/><Relationship Id="rId272" Type="http://schemas.openxmlformats.org/officeDocument/2006/relationships/hyperlink" Target="http://www.climatepolicydatabase.org/index.php?title=Energy_Strategy_to_2030_Russian_Federation_2009" TargetMode="External"/><Relationship Id="rId293" Type="http://schemas.openxmlformats.org/officeDocument/2006/relationships/hyperlink" Target="http://www.climatepolicydatabase.org/index.php?title=INDC_target_South_Africa_2015" TargetMode="External"/><Relationship Id="rId302" Type="http://schemas.openxmlformats.org/officeDocument/2006/relationships/hyperlink" Target="http://climatepolicydatabase.org/index.php?title=Energy_Development_Strategy_Action_Plan_(2014-2020)_China_2014" TargetMode="External"/><Relationship Id="rId307" Type="http://schemas.openxmlformats.org/officeDocument/2006/relationships/hyperlink" Target="http://climatepolicydatabase.org/index.php?title=Federal_Appliance_Standards_United_States_of_America_2012" TargetMode="External"/><Relationship Id="rId20" Type="http://schemas.openxmlformats.org/officeDocument/2006/relationships/hyperlink" Target="http://www.climatepolicydatabase.org/index.php?title=Integrated_Resource_Electricity_Plan_2010_%E2%80%93_2030_South_Africa_2011" TargetMode="External"/><Relationship Id="rId41" Type="http://schemas.openxmlformats.org/officeDocument/2006/relationships/hyperlink" Target="http://www.climatepolicydatabase.org/index.php?title=Ethanol_Blending_Mandate_Brazil_1993" TargetMode="External"/><Relationship Id="rId62" Type="http://schemas.openxmlformats.org/officeDocument/2006/relationships/hyperlink" Target="http://www.climatepolicydatabase.org/index.php?title=Perform,_Achieve,_Trade_(PAT)_Scheme_India_2011" TargetMode="External"/><Relationship Id="rId83" Type="http://schemas.openxmlformats.org/officeDocument/2006/relationships/hyperlink" Target="http://www.climatepolicydatabase.org/index.php?title=Renewable_Fuel_Standard_(2015-2020)" TargetMode="External"/><Relationship Id="rId88" Type="http://schemas.openxmlformats.org/officeDocument/2006/relationships/hyperlink" Target="http://www.climatepolicydatabase.org/index.php?title=2nd_energy_master_plan" TargetMode="External"/><Relationship Id="rId111" Type="http://schemas.openxmlformats.org/officeDocument/2006/relationships/hyperlink" Target="http://climatepolicydatabase.org/index.php?title=Intended_Nationally_Determined_Contribution" TargetMode="External"/><Relationship Id="rId132" Type="http://schemas.openxmlformats.org/officeDocument/2006/relationships/hyperlink" Target="http://climatepolicydatabase.org/index.php?title=Renewable_Energy_Amendment_Act_2015" TargetMode="External"/><Relationship Id="rId153" Type="http://schemas.openxmlformats.org/officeDocument/2006/relationships/hyperlink" Target="http://climatepolicydatabase.org/index.php?title=Energy_Development_Strategy_Action_Plan_(2014-2020)_China_2014" TargetMode="External"/><Relationship Id="rId174" Type="http://schemas.openxmlformats.org/officeDocument/2006/relationships/hyperlink" Target="http://climatepolicydatabase.org/index.php?title=2020_Climate_and_Energy_Package_European_Union_2009" TargetMode="External"/><Relationship Id="rId179" Type="http://schemas.openxmlformats.org/officeDocument/2006/relationships/hyperlink" Target="http://www.climatepolicydatabase.org/index.php?title=Roadmap_to_a_single_European_transport_area" TargetMode="External"/><Relationship Id="rId195" Type="http://schemas.openxmlformats.org/officeDocument/2006/relationships/hyperlink" Target="http://climatepolicydatabase.org/index.php?title=Directive_(EU)_2015/1513_amending_Directive_98/70/EC_relating_to_the_quality_of_petrol_and_diesel_fuels_and_amending_Directive_2009/28/EC_on_the_promotion_of_the_use_of_energy_from_renewable_sources" TargetMode="External"/><Relationship Id="rId209" Type="http://schemas.openxmlformats.org/officeDocument/2006/relationships/hyperlink" Target="http://climatepolicydatabase.org/index.php?title=Basic_Plan_for_Forest_and_Forestry_Japan_2011" TargetMode="External"/><Relationship Id="rId190" Type="http://schemas.openxmlformats.org/officeDocument/2006/relationships/hyperlink" Target="http://climatepolicydatabase.org/index.php?title=Fuel_Quality_(Directive_2009/30/EC)" TargetMode="External"/><Relationship Id="rId204" Type="http://schemas.openxmlformats.org/officeDocument/2006/relationships/hyperlink" Target="http://climatepolicydatabase.org/index.php?title=Environmet-related_tax_on_vehicle_Japan" TargetMode="External"/><Relationship Id="rId220" Type="http://schemas.openxmlformats.org/officeDocument/2006/relationships/hyperlink" Target="http://climatepolicydatabase.org/index.php?title=Act_on_Purchase_of_Renewable_Energy_Sourced_Electricity_by_Electric_Utilities_(Law_No._108_of_2011)_Japan_2012" TargetMode="External"/><Relationship Id="rId225" Type="http://schemas.openxmlformats.org/officeDocument/2006/relationships/hyperlink" Target="http://climatepolicydatabase.org/index.php?title=4th_Strategic_Energy_Plan_Japan_2014" TargetMode="External"/><Relationship Id="rId241" Type="http://schemas.openxmlformats.org/officeDocument/2006/relationships/hyperlink" Target="http://www.climatepolicydatabase.org/index.php?title=Accelerated_Depreciation_for_Investments_with_Environmental_Benefits_Mexico_2005" TargetMode="External"/><Relationship Id="rId246" Type="http://schemas.openxmlformats.org/officeDocument/2006/relationships/hyperlink" Target="http://www.climatepolicydatabase.org/index.php?title=Energy_Reform_Package_Mexico_2013" TargetMode="External"/><Relationship Id="rId267" Type="http://schemas.openxmlformats.org/officeDocument/2006/relationships/hyperlink" Target="http://www.climatepolicydatabase.org/index.php?title=Energy_efficiency_legislation_(Federal_Law_261-FZ,_%C2%80%C2%9COn_Saving_Energy_and_Increasing_Energy_efficiency_Increase_and_Amending_Certain_Legislative_Acts_of_the_Russian_Federation%C2%80%C2%9D)_Russian_Federation_2009" TargetMode="External"/><Relationship Id="rId288" Type="http://schemas.openxmlformats.org/officeDocument/2006/relationships/hyperlink" Target="http://www.climatepolicydatabase.org/index.php?title=Intended_Nationally_Determined_Contribution:_Saudi_Arabia" TargetMode="External"/><Relationship Id="rId15" Type="http://schemas.openxmlformats.org/officeDocument/2006/relationships/hyperlink" Target="http://www.climatepolicydatabase.org/index.php?title=Biofuels_Industrial_Strategy_South_Africa_2007" TargetMode="External"/><Relationship Id="rId36" Type="http://schemas.openxmlformats.org/officeDocument/2006/relationships/hyperlink" Target="http://www.climatepolicydatabase.org/index.php?title=Improving_Energy_efficiency_in_Building_Sector_Turkey_2009" TargetMode="External"/><Relationship Id="rId57" Type="http://schemas.openxmlformats.org/officeDocument/2006/relationships/hyperlink" Target="http://climatepolicydatabase.org/index.php?title=INDC_LULUCF_policy" TargetMode="External"/><Relationship Id="rId106" Type="http://schemas.openxmlformats.org/officeDocument/2006/relationships/hyperlink" Target="http://climatepolicydatabase.org/index.php?title=Energy_efficiency_labeling_Program_Indonesia_2009" TargetMode="External"/><Relationship Id="rId127" Type="http://schemas.openxmlformats.org/officeDocument/2006/relationships/hyperlink" Target="http://climatepolicydatabase.org/index.php?title=Renewable_Energy_(Electricity)_Act_2000_and_associated_legislation" TargetMode="External"/><Relationship Id="rId262" Type="http://schemas.openxmlformats.org/officeDocument/2006/relationships/hyperlink" Target="http://www.climatepolicydatabase.org/index.php?title=Greenhouse_Gas_Emission_Reduction_(Presidential_Decree_752)_Russian_Federation_2013" TargetMode="External"/><Relationship Id="rId283" Type="http://schemas.openxmlformats.org/officeDocument/2006/relationships/hyperlink" Target="http://www.climatepolicydatabase.org/index.php?title=Royal_Decree_establishing_King_Abdullah_City_for_Atomic_and_Renewable_Energy_2010_Saudi_Arabia_2010" TargetMode="External"/><Relationship Id="rId10" Type="http://schemas.openxmlformats.org/officeDocument/2006/relationships/hyperlink" Target="http://www.climatepolicydatabase.org/index.php?title=Clean_Energy_Fund_-_Renewable_Energy_and_Clean_Energy_Systems_Demonstration_Projects_Canada_2009" TargetMode="External"/><Relationship Id="rId31" Type="http://schemas.openxmlformats.org/officeDocument/2006/relationships/hyperlink" Target="http://www.climatepolicydatabase.org/index.php?title=Climate_Change_Action_Plan_2011-2023_Turkey_2011" TargetMode="External"/><Relationship Id="rId52" Type="http://schemas.openxmlformats.org/officeDocument/2006/relationships/hyperlink" Target="http://www.climatepolicydatabase.org/index.php?title=Climate_change_mitigation_and_adaptation_sector_plan_for_the_consolidation_of_a_low_carbon_economy_in_the_manufacturing_industry" TargetMode="External"/><Relationship Id="rId73" Type="http://schemas.openxmlformats.org/officeDocument/2006/relationships/hyperlink" Target="http://www.kemco.or.kr/nd_file/kemco_eng/KoreaEnergyStandards&amp;Labeling.pdf" TargetMode="External"/><Relationship Id="rId78" Type="http://schemas.openxmlformats.org/officeDocument/2006/relationships/hyperlink" Target="http://www.climatepolicydatabase.org/index.php?title=Emissions_Trading_Scheme_Korea_(South)_2015" TargetMode="External"/><Relationship Id="rId94" Type="http://schemas.openxmlformats.org/officeDocument/2006/relationships/hyperlink" Target="http://climatepolicydatabase.org/index.php?title=Biofuel_Blending_(Ministry_Regulation_No._25/2013)_Indonesia_2013" TargetMode="External"/><Relationship Id="rId99" Type="http://schemas.openxmlformats.org/officeDocument/2006/relationships/hyperlink" Target="http://climatepolicydatabase.org/index.php?title=Forest_Law_Enforcement_National_Strategy_(FLENS)_Indonesia_2005" TargetMode="External"/><Relationship Id="rId101" Type="http://schemas.openxmlformats.org/officeDocument/2006/relationships/hyperlink" Target="http://climatepolicydatabase.org/index.php?title=Electricity_Supply_Business_Plan_(RUPTL)_(2016-2025)" TargetMode="External"/><Relationship Id="rId122" Type="http://schemas.openxmlformats.org/officeDocument/2006/relationships/hyperlink" Target="http://climatepolicydatabase.org/index.php?title=National_Program_for_Rational_and_Efficient_Use_of_Energy_(PRONUREE)_Argentina_2007" TargetMode="External"/><Relationship Id="rId143" Type="http://schemas.openxmlformats.org/officeDocument/2006/relationships/hyperlink" Target="http://climatepolicydatabase.org/index.php?title=2012_Renewable_Energy_Electricity_feed-in_tariff_China_2012" TargetMode="External"/><Relationship Id="rId148" Type="http://schemas.openxmlformats.org/officeDocument/2006/relationships/hyperlink" Target="http://climatepolicydatabase.org/index.php?title=Energy_Development_Strategy_Action_Plan_(2014-2020)_China_2014" TargetMode="External"/><Relationship Id="rId164" Type="http://schemas.openxmlformats.org/officeDocument/2006/relationships/hyperlink" Target="http://climatepolicydatabase.org/index.php?title=Action_Plan_for_Upgrading_of_Coal_Power_Energy_Conservation_and_Emission_Reduction_Released_China_2014" TargetMode="External"/><Relationship Id="rId169" Type="http://schemas.openxmlformats.org/officeDocument/2006/relationships/hyperlink" Target="http://climatepolicydatabase.org/index.php?title=National_Plan_For_Tackling_Climate_Change_2014-2020_China_2014" TargetMode="External"/><Relationship Id="rId185" Type="http://schemas.openxmlformats.org/officeDocument/2006/relationships/hyperlink" Target="http://climatepolicydatabase.org/index.php?title=Fluorinated_greenhouse_gases_(Regulation_No._517/2014_on_fluorinated_greenhouse_gases_and_repealing_Regulation_(EC)_No_842/2006)_European_Union_2014" TargetMode="External"/><Relationship Id="rId4" Type="http://schemas.openxmlformats.org/officeDocument/2006/relationships/hyperlink" Target="http://www.theicct.org/sites/default/files/publications/ICCTupdate_Brazil_InovarAuto_feb2013.pdf" TargetMode="External"/><Relationship Id="rId9" Type="http://schemas.openxmlformats.org/officeDocument/2006/relationships/hyperlink" Target="http://www.climatepolicydatabase.org/index.php?title=Marine_Vessel_Fuel_Efficiency_Regulations" TargetMode="External"/><Relationship Id="rId180" Type="http://schemas.openxmlformats.org/officeDocument/2006/relationships/hyperlink" Target="http://www.climatepolicydatabase.org/index.php?title=Roadmap_to_a_single_European_transport_area" TargetMode="External"/><Relationship Id="rId210" Type="http://schemas.openxmlformats.org/officeDocument/2006/relationships/hyperlink" Target="http://climatepolicydatabase.org/index.php?title=Law_Concerning_the_Rational_Use_of_Energy_(Energy_Conservation_Act)_(Law_No.49_of_1979)_Japan_1979" TargetMode="External"/><Relationship Id="rId215" Type="http://schemas.openxmlformats.org/officeDocument/2006/relationships/hyperlink" Target="http://climatepolicydatabase.org/index.php?title=Act_on_Purchase_of_Renewable_Energy_Sourced_Electricity_by_Electric_Utilities_(Law_No._108_of_2011)_Japan_2012" TargetMode="External"/><Relationship Id="rId236" Type="http://schemas.openxmlformats.org/officeDocument/2006/relationships/hyperlink" Target="http://www.climatepolicydatabase.org/index.php?title=INDC_target_Mexico_2015" TargetMode="External"/><Relationship Id="rId257" Type="http://schemas.openxmlformats.org/officeDocument/2006/relationships/hyperlink" Target="http://www.climatepolicydatabase.org/index.php?title=Energy_Transition_Law_Mexico_2015" TargetMode="External"/><Relationship Id="rId278" Type="http://schemas.openxmlformats.org/officeDocument/2006/relationships/hyperlink" Target="http://www.climatepolicydatabase.org/index.php?title=Decree_No._449_on_the_Mechanism_for_the_Promotion_of_Renewable_Energy_on_the_Wholesale_Electricity_and_Market_Russian_Federation_2013" TargetMode="External"/><Relationship Id="rId26" Type="http://schemas.openxmlformats.org/officeDocument/2006/relationships/hyperlink" Target="http://www.climatepolicydatabase.org/index.php?title=Renewables_INDC_target_Turkey_2015" TargetMode="External"/><Relationship Id="rId231" Type="http://schemas.openxmlformats.org/officeDocument/2006/relationships/hyperlink" Target="http://www.climatepolicydatabase.org/index.php?title=Act_on_Rational_Use_and_Proper_Management_of_Fluorocarbons" TargetMode="External"/><Relationship Id="rId252" Type="http://schemas.openxmlformats.org/officeDocument/2006/relationships/hyperlink" Target="http://www.climatepolicydatabase.org/index.php?title=General_Law_for_Sustainable_Forest_Development_Mexico_2003" TargetMode="External"/><Relationship Id="rId273" Type="http://schemas.openxmlformats.org/officeDocument/2006/relationships/hyperlink" Target="http://www.climatepolicydatabase.org/index.php?title=Energy_Strategy_to_2030_Russian_Federation_2009" TargetMode="External"/><Relationship Id="rId294" Type="http://schemas.openxmlformats.org/officeDocument/2006/relationships/hyperlink" Target="http://www.climatepolicydatabase.org/index.php?title=INDC_target_South_Korea_2015" TargetMode="External"/><Relationship Id="rId308" Type="http://schemas.openxmlformats.org/officeDocument/2006/relationships/printerSettings" Target="../printerSettings/printerSettings4.bin"/><Relationship Id="rId47" Type="http://schemas.openxmlformats.org/officeDocument/2006/relationships/hyperlink" Target="http://www.climatepolicydatabase.org/index.php?title=Forest_Code_(Law_12651)_Brazil_2012" TargetMode="External"/><Relationship Id="rId68" Type="http://schemas.openxmlformats.org/officeDocument/2006/relationships/hyperlink" Target="http://www.climatepolicydatabase.org/index.php?title=Twelfth_Five_Year_Plan_(2012%E2%80%932017):_Faster,_More_Inclusive_and_Sustainable_Growth_India_2013" TargetMode="External"/><Relationship Id="rId89" Type="http://schemas.openxmlformats.org/officeDocument/2006/relationships/hyperlink" Target="http://www.climatepolicydatabase.org/index.php?title=2nd_energy_master_plan" TargetMode="External"/><Relationship Id="rId112" Type="http://schemas.openxmlformats.org/officeDocument/2006/relationships/hyperlink" Target="http://climatepolicydatabase.org/index.php?title=Intended_Nationally_Determined_Contribution" TargetMode="External"/><Relationship Id="rId133" Type="http://schemas.openxmlformats.org/officeDocument/2006/relationships/hyperlink" Target="http://climatepolicydatabase.org/index.php?title=CCS_Flagships_Programme_Australia_2009" TargetMode="External"/><Relationship Id="rId154" Type="http://schemas.openxmlformats.org/officeDocument/2006/relationships/hyperlink" Target="http://climatepolicydatabase.org/index.php?title=Energy_Development_Strategy_Action_Plan_(2014-2020)_China_2014" TargetMode="External"/><Relationship Id="rId175" Type="http://schemas.openxmlformats.org/officeDocument/2006/relationships/hyperlink" Target="http://climatepolicydatabase.org/index.php?title=2030_framework_for_climate_and_energy_policies_(strategic_document)_European_Union_2014" TargetMode="External"/><Relationship Id="rId196" Type="http://schemas.openxmlformats.org/officeDocument/2006/relationships/hyperlink" Target="http://www.climatepolicydatabase.org/index.php?title=Directive_2010/31/EU_on_the_energy_performance_of_buildings_European_Union_2010" TargetMode="External"/><Relationship Id="rId200" Type="http://schemas.openxmlformats.org/officeDocument/2006/relationships/hyperlink" Target="http://climatepolicydatabase.org/index.php?title=INDC" TargetMode="External"/><Relationship Id="rId16" Type="http://schemas.openxmlformats.org/officeDocument/2006/relationships/hyperlink" Target="http://www.climatepolicydatabase.org/index.php?title=National_Development_Plan" TargetMode="External"/><Relationship Id="rId221" Type="http://schemas.openxmlformats.org/officeDocument/2006/relationships/hyperlink" Target="http://climatepolicydatabase.org/index.php?title=Act_on_Purchase_of_Renewable_Energy_Sourced_Electricity_by_Electric_Utilities_(Law_No._108_of_2011)_Japan_2012" TargetMode="External"/><Relationship Id="rId242" Type="http://schemas.openxmlformats.org/officeDocument/2006/relationships/hyperlink" Target="http://www.climatepolicydatabase.org/index.php?title=Grid_interconection_contract_for_renewable_energy_(Contrato_de_interconexi%C3%B3n_para_fuente_de_energ%C3%ADa_renovable)_Mexico_2001" TargetMode="External"/><Relationship Id="rId263" Type="http://schemas.openxmlformats.org/officeDocument/2006/relationships/hyperlink" Target="http://www.climatepolicydatabase.org/index.php?title=Legislation_on_the_limitations_of_associated_gas_flaring_Russia_2009" TargetMode="External"/><Relationship Id="rId284" Type="http://schemas.openxmlformats.org/officeDocument/2006/relationships/hyperlink" Target="http://www.climatepolicydatabase.org/index.php?title=Royal_Decree_establishing_King_Abdullah_City_for_Atomic_and_Renewable_Energy_2010_Saudi_Arabia_2010" TargetMode="External"/><Relationship Id="rId37" Type="http://schemas.openxmlformats.org/officeDocument/2006/relationships/hyperlink" Target="http://www.climatepolicydatabase.org/index.php?title=2010-2019_Plan_for_Energy_Expansion_Brazil_2010" TargetMode="External"/><Relationship Id="rId58" Type="http://schemas.openxmlformats.org/officeDocument/2006/relationships/hyperlink" Target="http://climatepolicydatabase.org/index.php?title=Climate_Policy_Database" TargetMode="External"/><Relationship Id="rId79" Type="http://schemas.openxmlformats.org/officeDocument/2006/relationships/hyperlink" Target="http://www.climatepolicydatabase.org/index.php?title=Greenhouse_Gas_Reduction_Roadmap" TargetMode="External"/><Relationship Id="rId102" Type="http://schemas.openxmlformats.org/officeDocument/2006/relationships/hyperlink" Target="http://climatepolicydatabase.org/index.php?title=Electricity_Purchase_from_Small_and_Medium_Scale_Renewable_Energy_and_Excess_Power_(No._4/2012)_Indonesia_2012" TargetMode="External"/><Relationship Id="rId123" Type="http://schemas.openxmlformats.org/officeDocument/2006/relationships/hyperlink" Target="http://climatepolicydatabase.org/index.php?title=Law_No._25.080_/_99_Investment_in_Forestry_Argentina_1999" TargetMode="External"/><Relationship Id="rId144" Type="http://schemas.openxmlformats.org/officeDocument/2006/relationships/hyperlink" Target="http://climatepolicydatabase.org/index.php?title=Energy_Development_Strategy_Action_Plan_(2014-2020)_China_2014" TargetMode="External"/><Relationship Id="rId90" Type="http://schemas.openxmlformats.org/officeDocument/2006/relationships/hyperlink" Target="http://www.climatepolicydatabase.org/index.php?title=4th_National_Basic_Plan_for_New_and_Renewable_Energies_(2014-2035)" TargetMode="External"/><Relationship Id="rId165" Type="http://schemas.openxmlformats.org/officeDocument/2006/relationships/hyperlink" Target="http://climatepolicydatabase.org/index.php?title=Economy-wide_INDC_target_China_2015" TargetMode="External"/><Relationship Id="rId186" Type="http://schemas.openxmlformats.org/officeDocument/2006/relationships/hyperlink" Target="http://climatepolicydatabase.org/index.php?title=Fluorinated_greenhouse_gases_(Regulation_No._517/2014_on_fluorinated_greenhouse_gases_and_repealing_Regulation_(EC)_No_842/2006)_European_Union_2014" TargetMode="External"/><Relationship Id="rId211" Type="http://schemas.openxmlformats.org/officeDocument/2006/relationships/hyperlink" Target="http://climatepolicydatabase.org/index.php?title=Law_Concerning_the_Rational_Use_of_Energy_(Energy_Conservation_Act)_(Law_No.49_of_1979)_Japan_1979" TargetMode="External"/><Relationship Id="rId232" Type="http://schemas.openxmlformats.org/officeDocument/2006/relationships/hyperlink" Target="http://www.climatepolicydatabase.org/index.php?title=Regulation_and_Standard_for_Housing_and_Building_(Energy_Conservation_Act)_Japan_1980" TargetMode="External"/><Relationship Id="rId253" Type="http://schemas.openxmlformats.org/officeDocument/2006/relationships/hyperlink" Target="http://www.climatepolicydatabase.org/index.php?title=General_Law_for_Sustainable_Forest_Development_Mexico_2003" TargetMode="External"/><Relationship Id="rId274" Type="http://schemas.openxmlformats.org/officeDocument/2006/relationships/hyperlink" Target="http://www.climatepolicydatabase.org/index.php?title=Energy_Strategy_to_2030_Russian_Federation_2009" TargetMode="External"/><Relationship Id="rId295" Type="http://schemas.openxmlformats.org/officeDocument/2006/relationships/hyperlink" Target="http://www.climatepolicydatabase.org/index.php?title=Financially_conditional_renewables_INDC_target_India_2015" TargetMode="External"/><Relationship Id="rId27" Type="http://schemas.openxmlformats.org/officeDocument/2006/relationships/hyperlink" Target="http://www.climatepolicydatabase.org/index.php?title=Renewables_INDC_target_Turkey_2015" TargetMode="External"/><Relationship Id="rId48" Type="http://schemas.openxmlformats.org/officeDocument/2006/relationships/hyperlink" Target="http://www.climatepolicydatabase.org/index.php?title=Renewables_INDC_target_Brazil_2015" TargetMode="External"/><Relationship Id="rId69" Type="http://schemas.openxmlformats.org/officeDocument/2006/relationships/hyperlink" Target="http://www.climatepolicydatabase.org/index.php?title=National_Wind_Mission_India" TargetMode="External"/><Relationship Id="rId113" Type="http://schemas.openxmlformats.org/officeDocument/2006/relationships/hyperlink" Target="http://climatepolicydatabase.org/index.php?title=Law_26.093_(2006)_Regimen_of_Regulation_and_Promotion_of_the_Production_and_Sustainable_Use_of_Biofuels_Argentina_2006" TargetMode="External"/><Relationship Id="rId134" Type="http://schemas.openxmlformats.org/officeDocument/2006/relationships/hyperlink" Target="http://climatepolicydatabase.org/index.php?title=Fuel_Tax_Reform" TargetMode="External"/><Relationship Id="rId80" Type="http://schemas.openxmlformats.org/officeDocument/2006/relationships/hyperlink" Target="http://www.climatepolicydatabase.org/index.php?title=New_Automotive_Emissions_Standards_Korea_(South)_2008" TargetMode="External"/><Relationship Id="rId155" Type="http://schemas.openxmlformats.org/officeDocument/2006/relationships/hyperlink" Target="http://climatepolicydatabase.org/index.php?title=13th_Five-Year_Plan_(2016-2020)" TargetMode="External"/><Relationship Id="rId176" Type="http://schemas.openxmlformats.org/officeDocument/2006/relationships/hyperlink" Target="http://climatepolicydatabase.org/index.php?title=2030_framework_for_climate_and_energy_policies_(strategic_document)_European_Union_2014" TargetMode="External"/><Relationship Id="rId197" Type="http://schemas.openxmlformats.org/officeDocument/2006/relationships/hyperlink" Target="http://www.climatepolicydatabase.org/index.php?title=Directive_2010/31/EU_on_the_energy_performance_of_buildings_European_Union_2010" TargetMode="External"/><Relationship Id="rId201" Type="http://schemas.openxmlformats.org/officeDocument/2006/relationships/hyperlink" Target="http://climatepolicydatabase.org/index.php?title=Eco-Car_Tax_Break_and_Subsidies_for_Vehicles_Japan_2009" TargetMode="External"/><Relationship Id="rId222" Type="http://schemas.openxmlformats.org/officeDocument/2006/relationships/hyperlink" Target="http://climatepolicydatabase.org/index.php?title=Energy_Tax_on_Fossil_Fuels_Japan_2002" TargetMode="External"/><Relationship Id="rId243" Type="http://schemas.openxmlformats.org/officeDocument/2006/relationships/hyperlink" Target="http://www.climatepolicydatabase.org/index.php?title=Energy_Reform_Package_Mexico_2013" TargetMode="External"/><Relationship Id="rId264" Type="http://schemas.openxmlformats.org/officeDocument/2006/relationships/hyperlink" Target="http://www.climatepolicydatabase.org/index.php?title=State_Program_on_Energy_efficiency_and_Energy_Development_(approved_by_Government_Decree_No_321)_Russian_Federation_2014" TargetMode="External"/><Relationship Id="rId285" Type="http://schemas.openxmlformats.org/officeDocument/2006/relationships/hyperlink" Target="http://www.climatepolicydatabase.org/index.php?title=National_Energy_efficiency_Programme_2008_Saudi_Arabia_2008" TargetMode="External"/><Relationship Id="rId17" Type="http://schemas.openxmlformats.org/officeDocument/2006/relationships/hyperlink" Target="http://www.climatepolicydatabase.org/index.php?title=Carbon_Tax" TargetMode="External"/><Relationship Id="rId38" Type="http://schemas.openxmlformats.org/officeDocument/2006/relationships/hyperlink" Target="http://www.climatepolicydatabase.org/index.php?title=2010-2019_Plan_for_Energy_Expansion_Brazil_2010" TargetMode="External"/><Relationship Id="rId59" Type="http://schemas.openxmlformats.org/officeDocument/2006/relationships/hyperlink" Target="http://www.climatepolicydatabase.org/index.php?title=National_Policy_on_Biofuels_India_2009" TargetMode="External"/><Relationship Id="rId103" Type="http://schemas.openxmlformats.org/officeDocument/2006/relationships/hyperlink" Target="http://climatepolicydatabase.org/index.php?title=Ceiling_Price_for_Geothermal_(Ministerial_Regulation_No._17/2014)_Indonesia_2014" TargetMode="External"/><Relationship Id="rId124" Type="http://schemas.openxmlformats.org/officeDocument/2006/relationships/hyperlink" Target="http://climatepolicydatabase.org/index.php?title=Economy-wide_INDC_target_Australia_2015" TargetMode="External"/><Relationship Id="rId70" Type="http://schemas.openxmlformats.org/officeDocument/2006/relationships/hyperlink" Target="http://www.climatepolicydatabase.org/index.php?title=National_Solar_Mission_(Phase_I_and_II)_India_2010" TargetMode="External"/><Relationship Id="rId91" Type="http://schemas.openxmlformats.org/officeDocument/2006/relationships/hyperlink" Target="http://www.climatepolicydatabase.org/index.php?title=4th_National_Basic_Plan_for_New_and_Renewable_Energies_(2014-2035)" TargetMode="External"/><Relationship Id="rId145" Type="http://schemas.openxmlformats.org/officeDocument/2006/relationships/hyperlink" Target="http://climatepolicydatabase.org/index.php?title=Energy_Development_Strategy_Action_Plan_(2014-2020)_China_2014" TargetMode="External"/><Relationship Id="rId166" Type="http://schemas.openxmlformats.org/officeDocument/2006/relationships/hyperlink" Target="http://climatepolicydatabase.org/index.php?title=Economy-wide_INDC_target_China_2015" TargetMode="External"/><Relationship Id="rId187" Type="http://schemas.openxmlformats.org/officeDocument/2006/relationships/hyperlink" Target="http://climatepolicydatabase.org/index.php?title=Directive_2009/28/EC_Biofuel_target_European_Union_2009" TargetMode="External"/><Relationship Id="rId1" Type="http://schemas.openxmlformats.org/officeDocument/2006/relationships/hyperlink" Target="http://www.climatepolicydatabase.org/index.php?title=Roadmap_to_a_single_European_transport_area" TargetMode="External"/><Relationship Id="rId212" Type="http://schemas.openxmlformats.org/officeDocument/2006/relationships/hyperlink" Target="http://climatepolicydatabase.org/index.php?title=Act_on_Purchase_of_Renewable_Energy_Sourced_Electricity_by_Electric_Utilities_(Law_No._108_of_2011)_Japan_2012" TargetMode="External"/><Relationship Id="rId233" Type="http://schemas.openxmlformats.org/officeDocument/2006/relationships/hyperlink" Target="http://climatepolicydatabase.org/index.php?title=J-Credit_Scheme_Japan_2008" TargetMode="External"/><Relationship Id="rId254" Type="http://schemas.openxmlformats.org/officeDocument/2006/relationships/hyperlink" Target="http://www.climatepolicydatabase.org/index.php?title=General_Law_for_Sustainable_Forest_Development_Mexico_2003" TargetMode="External"/><Relationship Id="rId28" Type="http://schemas.openxmlformats.org/officeDocument/2006/relationships/hyperlink" Target="http://www.climatepolicydatabase.org/index.php?title=Renewables_INDC_target_Turkey_2015" TargetMode="External"/><Relationship Id="rId49" Type="http://schemas.openxmlformats.org/officeDocument/2006/relationships/hyperlink" Target="http://www.climatepolicydatabase.org/index.php?title=Renewables_INDC_target_Brazil_2015" TargetMode="External"/><Relationship Id="rId114" Type="http://schemas.openxmlformats.org/officeDocument/2006/relationships/hyperlink" Target="http://climatepolicydatabase.org/index.php?title=Law_26.093_(2006)_Regimen_of_Regulation_and_Promotion_of_the_Production_and_Sustainable_Use_of_Biofuels_Argentina_2006" TargetMode="External"/><Relationship Id="rId275" Type="http://schemas.openxmlformats.org/officeDocument/2006/relationships/hyperlink" Target="http://www.climatepolicydatabase.org/index.php?title=Decree_No._449_on_the_Mechanism_for_the_Promotion_of_Renewable_Energy_on_the_Wholesale_Electricity_and_Market_Russian_Federation_2013" TargetMode="External"/><Relationship Id="rId296" Type="http://schemas.openxmlformats.org/officeDocument/2006/relationships/hyperlink" Target="http://www.climatepolicydatabase.org/index.php?title=Energy_intensity_INDC_target_India_2015" TargetMode="External"/><Relationship Id="rId300" Type="http://schemas.openxmlformats.org/officeDocument/2006/relationships/hyperlink" Target="http://climatepolicydatabase.org/index.php?title=Emissions_Reduction_Fund_Australia_2014" TargetMode="External"/><Relationship Id="rId60" Type="http://schemas.openxmlformats.org/officeDocument/2006/relationships/hyperlink" Target="http://www.climatepolicydatabase.org/index.php?title=Vehicle_energy_consumption_standards_India_2014" TargetMode="External"/><Relationship Id="rId81" Type="http://schemas.openxmlformats.org/officeDocument/2006/relationships/hyperlink" Target="http://www.climatepolicydatabase.org/index.php?title=Development_and_Distribution_Plan_for_Electric_Vehicles" TargetMode="External"/><Relationship Id="rId135" Type="http://schemas.openxmlformats.org/officeDocument/2006/relationships/hyperlink" Target="http://climatepolicydatabase.org/index.php?title=Fuel_Quality_Standards_Act_2000" TargetMode="External"/><Relationship Id="rId156" Type="http://schemas.openxmlformats.org/officeDocument/2006/relationships/hyperlink" Target="http://climatepolicydatabase.org/index.php?title=13th_Five-Year_Plan_(2016-2020)" TargetMode="External"/><Relationship Id="rId177" Type="http://schemas.openxmlformats.org/officeDocument/2006/relationships/hyperlink" Target="http://climatepolicydatabase.org/index.php?title=2030_framework_for_climate_and_energy_policies_(strategic_document)_European_Union_2014" TargetMode="External"/><Relationship Id="rId198" Type="http://schemas.openxmlformats.org/officeDocument/2006/relationships/hyperlink" Target="http://climatepolicydatabase.org/index.php?title=Eco-design_(Directive_2009/125/EC_establishing_a_framework_for_the_setting_of_ecodesign_requirements_for_energy-related_products_(recast))_European_Union_2009" TargetMode="External"/><Relationship Id="rId202" Type="http://schemas.openxmlformats.org/officeDocument/2006/relationships/hyperlink" Target="http://climatepolicydatabase.org/index.php?title=Eco-Car_Tax_Break_and_Subsidies_for_Vehicles_Japan_2009" TargetMode="External"/><Relationship Id="rId223" Type="http://schemas.openxmlformats.org/officeDocument/2006/relationships/hyperlink" Target="http://climatepolicydatabase.org/index.php?title=Energy_Tax_on_Fossil_Fuels_Japan_2002" TargetMode="External"/><Relationship Id="rId244" Type="http://schemas.openxmlformats.org/officeDocument/2006/relationships/hyperlink" Target="http://www.climatepolicydatabase.org/index.php?title=Energy_Reform_Package_Mexico_2013" TargetMode="External"/><Relationship Id="rId18" Type="http://schemas.openxmlformats.org/officeDocument/2006/relationships/hyperlink" Target="http://www.climatepolicydatabase.org/index.php?title=Integrated_Resource_Electricity_Plan_2010_%E2%80%93_2030_South_Africa_2011" TargetMode="External"/><Relationship Id="rId39" Type="http://schemas.openxmlformats.org/officeDocument/2006/relationships/hyperlink" Target="http://www.climatepolicydatabase.org/index.php?title=Brazil_Renewable_Energy_Auctions_Brazil_2007" TargetMode="External"/><Relationship Id="rId265" Type="http://schemas.openxmlformats.org/officeDocument/2006/relationships/hyperlink" Target="http://www.climatepolicydatabase.org/index.php?title=Energy_efficiency_legislation_(Federal_Law_261-FZ,_%C2%80%C2%9COn_Saving_Energy_and_Increasing_Energy_efficiency_Increase_and_Amending_Certain_Legislative_Acts_of_the_Russian_Federation%C2%80%C2%9D)_Russian_Federation_2009" TargetMode="External"/><Relationship Id="rId286" Type="http://schemas.openxmlformats.org/officeDocument/2006/relationships/hyperlink" Target="http://www.climatepolicydatabase.org/index.php?title=Royal_Decree_establishing_King_Abdullah_City_for_Atomic_and_Renewable_Energy_2010_Saudi_Arabia_2010" TargetMode="External"/><Relationship Id="rId50" Type="http://schemas.openxmlformats.org/officeDocument/2006/relationships/hyperlink" Target="http://www.climatepolicydatabase.org/index.php?title=Renewables_INDC_target_Brazil_2015" TargetMode="External"/><Relationship Id="rId104" Type="http://schemas.openxmlformats.org/officeDocument/2006/relationships/hyperlink" Target="http://climatepolicydatabase.org/index.php?title=National_Electricity_Plan_(RUKN)" TargetMode="External"/><Relationship Id="rId125" Type="http://schemas.openxmlformats.org/officeDocument/2006/relationships/hyperlink" Target="http://climatepolicydatabase.org/index.php?title=Renewable_Energy_(Electricity)_Act_2000_and_associated_legislation" TargetMode="External"/><Relationship Id="rId146" Type="http://schemas.openxmlformats.org/officeDocument/2006/relationships/hyperlink" Target="http://climatepolicydatabase.org/index.php?title=Energy_Development_Strategy_Action_Plan_(2014-2020)_China_2014" TargetMode="External"/><Relationship Id="rId167" Type="http://schemas.openxmlformats.org/officeDocument/2006/relationships/hyperlink" Target="http://climatepolicydatabase.org/index.php?title=13th_Five-Year_Plan_(2016-2020)" TargetMode="External"/><Relationship Id="rId188" Type="http://schemas.openxmlformats.org/officeDocument/2006/relationships/hyperlink" Target="http://climatepolicydatabase.org/index.php?title=Emission_performance_standards_for_new_passenger_cars_(Regulation_(EC)_No._443/2009" TargetMode="External"/><Relationship Id="rId71" Type="http://schemas.openxmlformats.org/officeDocument/2006/relationships/hyperlink" Target="http://www.climatepolicydatabase.org/index.php?title=National_Solar_Mission_(Phase_I_and_II)_India_2010" TargetMode="External"/><Relationship Id="rId92" Type="http://schemas.openxmlformats.org/officeDocument/2006/relationships/hyperlink" Target="http://www.climatepolicydatabase.org/index.php?title=7th_Basic_Plan_for_Long-Term_Electricity_Supply_and_Demand_2015-2029" TargetMode="External"/><Relationship Id="rId213" Type="http://schemas.openxmlformats.org/officeDocument/2006/relationships/hyperlink" Target="http://climatepolicydatabase.org/index.php?title=Act_on_Purchase_of_Renewable_Energy_Sourced_Electricity_by_Electric_Utilities_(Law_No._108_of_2011)_Japan_2012" TargetMode="External"/><Relationship Id="rId234" Type="http://schemas.openxmlformats.org/officeDocument/2006/relationships/hyperlink" Target="http://www.climatepolicydatabase.org/index.php?title=INDC_target_Mexico_2015" TargetMode="External"/><Relationship Id="rId2" Type="http://schemas.openxmlformats.org/officeDocument/2006/relationships/hyperlink" Target="http://www.theicct.org/sites/default/files/publications/ICCTpolicyupdate14_USHDV_final.pdf" TargetMode="External"/><Relationship Id="rId29" Type="http://schemas.openxmlformats.org/officeDocument/2006/relationships/hyperlink" Target="http://www.climatepolicydatabase.org/index.php?title=Energy_efficiency_Strategy_Paper_2012-2023_Turkey_2012" TargetMode="External"/><Relationship Id="rId255" Type="http://schemas.openxmlformats.org/officeDocument/2006/relationships/hyperlink" Target="http://www.climatepolicydatabase.org/index.php?title=General_Law_for_Sustainable_Forest_Development_Mexico_2003" TargetMode="External"/><Relationship Id="rId276" Type="http://schemas.openxmlformats.org/officeDocument/2006/relationships/hyperlink" Target="http://www.climatepolicydatabase.org/index.php?title=Decree_No._449_on_the_Mechanism_for_the_Promotion_of_Renewable_Energy_on_the_Wholesale_Electricity_and_Market_Russian_Federation_2013" TargetMode="External"/><Relationship Id="rId297" Type="http://schemas.openxmlformats.org/officeDocument/2006/relationships/hyperlink" Target="http://www.climatepolicydatabase.org/index.php?title=Forestry_INDC_target_India_2015"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eia.gov/oiaf/1605/coefficients.html" TargetMode="External"/><Relationship Id="rId7" Type="http://schemas.openxmlformats.org/officeDocument/2006/relationships/hyperlink" Target="http://en.wikipedia.org/wiki/Truck_classification" TargetMode="External"/><Relationship Id="rId2" Type="http://schemas.openxmlformats.org/officeDocument/2006/relationships/hyperlink" Target="http://www.eia.gov/oiaf/1605/coefficients.html" TargetMode="External"/><Relationship Id="rId1" Type="http://schemas.openxmlformats.org/officeDocument/2006/relationships/hyperlink" Target="http://www.theicct.org/sites/default/files/publications/ICCTupdate_Brazil_InovarAuto_feb2013.pdf" TargetMode="External"/><Relationship Id="rId6" Type="http://schemas.openxmlformats.org/officeDocument/2006/relationships/hyperlink" Target="http://www.theicct.org/global-transportation-energy-and-climate-roadmap" TargetMode="External"/><Relationship Id="rId5" Type="http://schemas.openxmlformats.org/officeDocument/2006/relationships/hyperlink" Target="http://www.theicct.org/sites/default/files/info-tools/pvstds/Canada_PVstds-facts_jan2015.pdf" TargetMode="External"/><Relationship Id="rId10" Type="http://schemas.openxmlformats.org/officeDocument/2006/relationships/comments" Target="../comments1.xml"/><Relationship Id="rId4" Type="http://schemas.openxmlformats.org/officeDocument/2006/relationships/hyperlink" Target="http://ec.europa.eu/eurostat/statistics-explained/images/3/3c/New_passenger_cars_by_type_of_engine_fuel%2C_2013.png"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L2:L22"/>
  <sheetViews>
    <sheetView tabSelected="1" workbookViewId="0"/>
  </sheetViews>
  <sheetFormatPr defaultRowHeight="15" x14ac:dyDescent="0.25"/>
  <cols>
    <col min="1" max="11" width="9.140625" style="1145"/>
    <col min="12" max="12" width="132.42578125" style="1145" bestFit="1" customWidth="1"/>
    <col min="13" max="16384" width="9.140625" style="1145"/>
  </cols>
  <sheetData>
    <row r="2" spans="12:12" ht="108" x14ac:dyDescent="0.55000000000000004">
      <c r="L2" s="1148" t="s">
        <v>2451</v>
      </c>
    </row>
    <row r="3" spans="12:12" x14ac:dyDescent="0.25">
      <c r="L3" s="1150" t="s">
        <v>2452</v>
      </c>
    </row>
    <row r="4" spans="12:12" ht="36" x14ac:dyDescent="0.55000000000000004">
      <c r="L4" s="1144" t="s">
        <v>2446</v>
      </c>
    </row>
    <row r="5" spans="12:12" ht="36" x14ac:dyDescent="0.55000000000000004">
      <c r="L5" s="1144" t="s">
        <v>2447</v>
      </c>
    </row>
    <row r="6" spans="12:12" x14ac:dyDescent="0.25">
      <c r="L6" s="1149" t="s">
        <v>2455</v>
      </c>
    </row>
    <row r="8" spans="12:12" x14ac:dyDescent="0.25">
      <c r="L8" s="1146" t="s">
        <v>2448</v>
      </c>
    </row>
    <row r="9" spans="12:12" x14ac:dyDescent="0.25">
      <c r="L9" s="1147" t="s">
        <v>2449</v>
      </c>
    </row>
    <row r="10" spans="12:12" x14ac:dyDescent="0.25">
      <c r="L10" s="1147" t="s">
        <v>2450</v>
      </c>
    </row>
    <row r="22" spans="12:12" x14ac:dyDescent="0.25">
      <c r="L22"/>
    </row>
  </sheetData>
  <hyperlinks>
    <hyperlink ref="L6" r:id="rId1" xr:uid="{00000000-0004-0000-0000-000000000000}"/>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D101"/>
  <sheetViews>
    <sheetView workbookViewId="0">
      <selection activeCell="F21" sqref="F21"/>
    </sheetView>
  </sheetViews>
  <sheetFormatPr defaultRowHeight="15" outlineLevelCol="1" x14ac:dyDescent="0.25"/>
  <cols>
    <col min="1" max="1" width="9.140625" style="534"/>
    <col min="2" max="2" width="9.28515625" style="534" customWidth="1"/>
    <col min="3" max="3" width="24.42578125" style="10" bestFit="1" customWidth="1"/>
    <col min="4" max="4" width="25.140625" style="534" customWidth="1"/>
    <col min="5" max="5" width="13.5703125" style="534" customWidth="1"/>
    <col min="6" max="6" width="24.7109375" style="534" customWidth="1"/>
    <col min="7" max="7" width="25.5703125" style="534" customWidth="1"/>
    <col min="8" max="8" width="6.140625" style="534" customWidth="1" outlineLevel="1"/>
    <col min="9" max="9" width="8.28515625" style="534" customWidth="1" outlineLevel="1"/>
    <col min="10" max="10" width="15.28515625" style="534" customWidth="1" outlineLevel="1"/>
    <col min="11" max="11" width="14.42578125" style="534" customWidth="1"/>
    <col min="12" max="12" width="29.85546875" style="534" customWidth="1" outlineLevel="1"/>
    <col min="13" max="13" width="10" style="534" customWidth="1" outlineLevel="1"/>
    <col min="14" max="14" width="15.140625" style="534" customWidth="1"/>
    <col min="15" max="15" width="12.85546875" style="534" customWidth="1"/>
    <col min="16" max="16" width="9.140625" style="534"/>
    <col min="17" max="17" width="18.7109375" style="534" customWidth="1"/>
    <col min="18" max="18" width="13.7109375" style="534" customWidth="1"/>
    <col min="19" max="19" width="13.85546875" style="534" customWidth="1"/>
    <col min="20" max="20" width="13.140625" style="534" customWidth="1"/>
    <col min="21" max="21" width="14.85546875" style="534" customWidth="1"/>
    <col min="22" max="22" width="14.85546875" style="534" customWidth="1" outlineLevel="1"/>
    <col min="23" max="23" width="17.85546875" style="534" customWidth="1" outlineLevel="1"/>
    <col min="24" max="24" width="18.5703125" style="534" customWidth="1" outlineLevel="1"/>
    <col min="25" max="25" width="21.42578125" style="534" customWidth="1" outlineLevel="1"/>
    <col min="26" max="26" width="14.85546875" style="534" customWidth="1" outlineLevel="1"/>
    <col min="27" max="27" width="13.85546875" style="534" customWidth="1" outlineLevel="1"/>
    <col min="28" max="30" width="8" style="534" customWidth="1" outlineLevel="1"/>
    <col min="31" max="31" width="16.7109375" style="534" customWidth="1" outlineLevel="1"/>
    <col min="32" max="32" width="17.28515625" style="534" customWidth="1" outlineLevel="1"/>
    <col min="33" max="34" width="16.7109375" style="534" customWidth="1" outlineLevel="1"/>
    <col min="35" max="36" width="9.5703125" style="534" customWidth="1" outlineLevel="1"/>
    <col min="37" max="37" width="9.7109375" style="385" customWidth="1" outlineLevel="1"/>
    <col min="38" max="38" width="15.85546875" style="534" customWidth="1" outlineLevel="1"/>
    <col min="39" max="39" width="11.140625" style="534" customWidth="1" outlineLevel="1"/>
    <col min="40" max="40" width="12.140625" style="282" customWidth="1" outlineLevel="1"/>
    <col min="41" max="41" width="12.7109375" style="282" customWidth="1"/>
    <col min="42" max="42" width="12.7109375" style="282" hidden="1" customWidth="1" collapsed="1"/>
    <col min="43" max="48" width="13.42578125" style="534" customWidth="1"/>
    <col min="49" max="49" width="12.85546875" style="534" customWidth="1"/>
    <col min="50" max="50" width="13.42578125" style="534" customWidth="1"/>
    <col min="51" max="51" width="34.42578125" style="534" customWidth="1"/>
    <col min="52" max="52" width="39.7109375" style="534" hidden="1" customWidth="1"/>
    <col min="53" max="53" width="46.42578125" style="534" customWidth="1"/>
    <col min="54" max="54" width="53" style="534" customWidth="1"/>
    <col min="55" max="55" width="20.7109375" style="534" customWidth="1"/>
    <col min="56" max="16384" width="9.140625" style="534"/>
  </cols>
  <sheetData>
    <row r="1" spans="1:55" x14ac:dyDescent="0.25">
      <c r="C1" s="321" t="s">
        <v>1877</v>
      </c>
    </row>
    <row r="2" spans="1:55" s="17" customFormat="1" ht="105" x14ac:dyDescent="0.25">
      <c r="A2" s="976" t="s">
        <v>325</v>
      </c>
      <c r="B2" s="977" t="s">
        <v>324</v>
      </c>
      <c r="C2" s="977" t="s">
        <v>2289</v>
      </c>
      <c r="D2" s="977" t="s">
        <v>562</v>
      </c>
      <c r="E2" s="978" t="s">
        <v>2540</v>
      </c>
      <c r="F2" s="979" t="s">
        <v>689</v>
      </c>
      <c r="G2" s="977" t="s">
        <v>563</v>
      </c>
      <c r="H2" s="977" t="s">
        <v>2541</v>
      </c>
      <c r="I2" s="977" t="s">
        <v>2542</v>
      </c>
      <c r="J2" s="977" t="s">
        <v>2543</v>
      </c>
      <c r="K2" s="977" t="s">
        <v>2544</v>
      </c>
      <c r="L2" s="977" t="s">
        <v>564</v>
      </c>
      <c r="M2" s="977" t="s">
        <v>2</v>
      </c>
      <c r="N2" s="979" t="s">
        <v>1661</v>
      </c>
      <c r="O2" s="979" t="s">
        <v>1662</v>
      </c>
      <c r="P2" s="979" t="s">
        <v>1490</v>
      </c>
      <c r="Q2" s="977" t="s">
        <v>565</v>
      </c>
      <c r="R2" s="979" t="s">
        <v>2545</v>
      </c>
      <c r="S2" s="979" t="s">
        <v>2546</v>
      </c>
      <c r="T2" s="979" t="s">
        <v>2286</v>
      </c>
      <c r="U2" s="979" t="s">
        <v>2290</v>
      </c>
      <c r="V2" s="977" t="s">
        <v>566</v>
      </c>
      <c r="W2" s="979" t="s">
        <v>2089</v>
      </c>
      <c r="X2" s="979" t="s">
        <v>2087</v>
      </c>
      <c r="Y2" s="977" t="s">
        <v>567</v>
      </c>
      <c r="Z2" s="977" t="s">
        <v>568</v>
      </c>
      <c r="AA2" s="977" t="s">
        <v>569</v>
      </c>
      <c r="AB2" s="977" t="s">
        <v>2547</v>
      </c>
      <c r="AC2" s="979" t="s">
        <v>2094</v>
      </c>
      <c r="AD2" s="979" t="s">
        <v>1735</v>
      </c>
      <c r="AE2" s="977" t="s">
        <v>570</v>
      </c>
      <c r="AF2" s="977" t="s">
        <v>571</v>
      </c>
      <c r="AG2" s="977" t="s">
        <v>572</v>
      </c>
      <c r="AH2" s="977" t="s">
        <v>322</v>
      </c>
      <c r="AI2" s="977" t="s">
        <v>2548</v>
      </c>
      <c r="AJ2" s="977" t="s">
        <v>2291</v>
      </c>
      <c r="AK2" s="977" t="s">
        <v>2292</v>
      </c>
      <c r="AL2" s="977" t="s">
        <v>2293</v>
      </c>
      <c r="AM2" s="977" t="s">
        <v>2294</v>
      </c>
      <c r="AN2" s="977" t="s">
        <v>2295</v>
      </c>
      <c r="AO2" s="977" t="s">
        <v>2296</v>
      </c>
      <c r="AP2" s="977" t="s">
        <v>2297</v>
      </c>
      <c r="AQ2" s="979" t="s">
        <v>1491</v>
      </c>
      <c r="AR2" s="979" t="s">
        <v>1587</v>
      </c>
      <c r="AS2" s="979" t="s">
        <v>2092</v>
      </c>
      <c r="AT2" s="979" t="s">
        <v>2093</v>
      </c>
      <c r="AU2" s="979" t="s">
        <v>2090</v>
      </c>
      <c r="AV2" s="979" t="s">
        <v>2091</v>
      </c>
      <c r="AW2" s="979" t="s">
        <v>2287</v>
      </c>
      <c r="AX2" s="979" t="s">
        <v>2288</v>
      </c>
      <c r="AY2" s="977" t="s">
        <v>573</v>
      </c>
      <c r="AZ2" s="980" t="s">
        <v>574</v>
      </c>
      <c r="BA2" s="963" t="s">
        <v>1664</v>
      </c>
      <c r="BB2" s="963" t="s">
        <v>1656</v>
      </c>
      <c r="BC2" s="963" t="s">
        <v>1643</v>
      </c>
    </row>
    <row r="3" spans="1:55" s="19" customFormat="1" x14ac:dyDescent="0.25">
      <c r="A3" s="981"/>
      <c r="B3" s="982" t="s">
        <v>304</v>
      </c>
      <c r="C3" s="983"/>
      <c r="D3" s="984"/>
      <c r="E3" s="985"/>
      <c r="F3" s="985"/>
      <c r="G3" s="984"/>
      <c r="H3" s="984"/>
      <c r="I3" s="984"/>
      <c r="J3" s="984"/>
      <c r="K3" s="984"/>
      <c r="L3" s="984"/>
      <c r="M3" s="984"/>
      <c r="N3" s="984"/>
      <c r="O3" s="986"/>
      <c r="P3" s="984"/>
      <c r="Q3" s="984"/>
      <c r="R3" s="984"/>
      <c r="S3" s="984"/>
      <c r="T3" s="984"/>
      <c r="U3" s="984"/>
      <c r="V3" s="984" t="s">
        <v>2401</v>
      </c>
      <c r="W3" s="984"/>
      <c r="X3" s="984"/>
      <c r="Y3" s="984"/>
      <c r="Z3" s="984"/>
      <c r="AA3" s="984" t="s">
        <v>2401</v>
      </c>
      <c r="AB3" s="984"/>
      <c r="AC3" s="984"/>
      <c r="AD3" s="984"/>
      <c r="AE3" s="984"/>
      <c r="AF3" s="984"/>
      <c r="AG3" s="984"/>
      <c r="AH3" s="987"/>
      <c r="AI3" s="984"/>
      <c r="AJ3" s="988" t="str">
        <f t="shared" ref="AJ3:AJ34" si="0">IF($AN3="","",$AN3/$X3)</f>
        <v/>
      </c>
      <c r="AK3" s="984" t="str">
        <f t="shared" ref="AK3:AK21" si="1">IF($AO3="","",$AO3/$X3)</f>
        <v/>
      </c>
      <c r="AL3" s="988" t="str">
        <f t="shared" ref="AL3:AL33" si="2">IF($AP3="","",$AP3/$X3)</f>
        <v/>
      </c>
      <c r="AM3" s="988"/>
      <c r="AN3" s="984"/>
      <c r="AO3" s="984"/>
      <c r="AP3" s="989" t="str">
        <f>IF($N3="","",$N3/$AF3*(1+$K3)*$AG3)</f>
        <v/>
      </c>
      <c r="AQ3" s="990"/>
      <c r="AR3" s="990"/>
      <c r="AS3" s="990"/>
      <c r="AT3" s="990"/>
      <c r="AU3" s="990"/>
      <c r="AV3" s="990"/>
      <c r="AW3" s="989"/>
      <c r="AX3" s="989"/>
      <c r="AY3" s="984"/>
      <c r="AZ3" s="991"/>
    </row>
    <row r="4" spans="1:55" x14ac:dyDescent="0.25">
      <c r="A4" s="992" t="s">
        <v>319</v>
      </c>
      <c r="B4" s="993" t="s">
        <v>304</v>
      </c>
      <c r="C4" s="994" t="s">
        <v>24</v>
      </c>
      <c r="D4" s="993" t="s">
        <v>575</v>
      </c>
      <c r="E4" s="995"/>
      <c r="F4" s="995"/>
      <c r="G4" s="993" t="s">
        <v>576</v>
      </c>
      <c r="H4" s="993" t="s">
        <v>577</v>
      </c>
      <c r="I4" s="993"/>
      <c r="J4" s="993" t="s">
        <v>578</v>
      </c>
      <c r="K4" s="993" t="s">
        <v>578</v>
      </c>
      <c r="L4" s="993" t="s">
        <v>579</v>
      </c>
      <c r="M4" s="993">
        <v>2030</v>
      </c>
      <c r="N4" s="995">
        <f>$R4</f>
        <v>5.8999999999999995</v>
      </c>
      <c r="O4" s="995"/>
      <c r="P4" s="993"/>
      <c r="Q4" s="993" t="s">
        <v>2513</v>
      </c>
      <c r="R4" s="995">
        <f>0.708/-$J4</f>
        <v>5.8999999999999995</v>
      </c>
      <c r="S4" s="995"/>
      <c r="T4" s="995"/>
      <c r="U4" s="995"/>
      <c r="V4" s="995" t="s">
        <v>2401</v>
      </c>
      <c r="W4" s="996"/>
      <c r="X4" s="996">
        <f>$AA4</f>
        <v>7.9749999999999996</v>
      </c>
      <c r="Y4" s="993" t="s">
        <v>580</v>
      </c>
      <c r="Z4" s="995"/>
      <c r="AA4" s="995">
        <v>7.9749999999999996</v>
      </c>
      <c r="AB4" s="993"/>
      <c r="AC4" s="993"/>
      <c r="AD4" s="993"/>
      <c r="AE4" s="997" t="str">
        <f t="shared" ref="AE4:AE10" si="3">IF(AA4="","&lt;0.1%",IF(AA4/$AA$81&lt;0.001,"&lt;0.1%",AA4/$AA$81))</f>
        <v>&lt;0.1%</v>
      </c>
      <c r="AF4" s="997"/>
      <c r="AG4" s="997"/>
      <c r="AH4" s="998">
        <v>2030</v>
      </c>
      <c r="AI4" s="995">
        <f>$N4</f>
        <v>5.8999999999999995</v>
      </c>
      <c r="AJ4" s="999">
        <f t="shared" si="0"/>
        <v>0.65103448275862064</v>
      </c>
      <c r="AK4" s="999">
        <f t="shared" si="1"/>
        <v>0.65103448275862064</v>
      </c>
      <c r="AL4" s="999" t="str">
        <f t="shared" si="2"/>
        <v/>
      </c>
      <c r="AM4" s="999"/>
      <c r="AN4" s="995">
        <f t="shared" ref="AN4:AN17" si="4">IF($N4="","",$N4*(1+$J4))</f>
        <v>5.1919999999999993</v>
      </c>
      <c r="AO4" s="1000">
        <f t="shared" ref="AO4:AO17" si="5">IF($N4="","",$N4*(1+$K4))</f>
        <v>5.1919999999999993</v>
      </c>
      <c r="AP4" s="995"/>
      <c r="AQ4" s="1001"/>
      <c r="AR4" s="1001"/>
      <c r="AS4" s="1001"/>
      <c r="AT4" s="1001"/>
      <c r="AU4" s="1001"/>
      <c r="AV4" s="1001"/>
      <c r="AW4" s="995"/>
      <c r="AX4" s="995"/>
      <c r="AY4" s="993" t="s">
        <v>581</v>
      </c>
      <c r="AZ4" s="992"/>
    </row>
    <row r="5" spans="1:55" x14ac:dyDescent="0.25">
      <c r="A5" s="1002" t="s">
        <v>23</v>
      </c>
      <c r="B5" s="1003" t="s">
        <v>304</v>
      </c>
      <c r="C5" s="1004" t="s">
        <v>13</v>
      </c>
      <c r="D5" s="1003" t="s">
        <v>582</v>
      </c>
      <c r="E5" s="1005" t="s">
        <v>687</v>
      </c>
      <c r="F5" s="1006" t="s">
        <v>1641</v>
      </c>
      <c r="G5" s="1003" t="s">
        <v>583</v>
      </c>
      <c r="H5" s="1003" t="s">
        <v>584</v>
      </c>
      <c r="I5" s="1003"/>
      <c r="J5" s="1003" t="s">
        <v>585</v>
      </c>
      <c r="K5" s="1003" t="s">
        <v>585</v>
      </c>
      <c r="L5" s="1003" t="s">
        <v>586</v>
      </c>
      <c r="M5" s="1003">
        <v>1990</v>
      </c>
      <c r="N5" s="1007">
        <f>$T5</f>
        <v>5367.9400376121193</v>
      </c>
      <c r="O5" s="1007">
        <f>$U5</f>
        <v>5626.2597400000004</v>
      </c>
      <c r="P5" s="1008" t="s">
        <v>686</v>
      </c>
      <c r="Q5" s="1003" t="s">
        <v>587</v>
      </c>
      <c r="R5" s="1003"/>
      <c r="S5" s="1003"/>
      <c r="T5" s="1009">
        <v>5367.9400376121193</v>
      </c>
      <c r="U5" s="1007">
        <v>5626.2597400000004</v>
      </c>
      <c r="V5" s="1010">
        <v>4638.4728999999998</v>
      </c>
      <c r="W5" s="1011">
        <f>10^-3*'History GHG emissions G20'!C6</f>
        <v>5004.7448811000004</v>
      </c>
      <c r="X5" s="1011">
        <f>10^-3*'History GHG emissions G20'!E6</f>
        <v>4555.5200787000003</v>
      </c>
      <c r="Y5" s="1008" t="s">
        <v>2088</v>
      </c>
      <c r="Z5" s="1010">
        <v>4439.38490983878</v>
      </c>
      <c r="AA5" s="1010">
        <v>4295.1019999999999</v>
      </c>
      <c r="AB5" s="1008"/>
      <c r="AC5" s="1011">
        <f>10^-3*'History GHG emissions G20'!J6</f>
        <v>-327.85511890000004</v>
      </c>
      <c r="AD5" s="1011">
        <f>10^-3*'History GHG emissions G20'!N6</f>
        <v>-342.96992130000001</v>
      </c>
      <c r="AE5" s="1012">
        <f t="shared" si="3"/>
        <v>9.6609473538325094E-2</v>
      </c>
      <c r="AF5" s="1012"/>
      <c r="AG5" s="1012"/>
      <c r="AH5" s="1005">
        <v>2030</v>
      </c>
      <c r="AI5" s="1003"/>
      <c r="AJ5" s="1013">
        <f t="shared" si="0"/>
        <v>0.70700248641783503</v>
      </c>
      <c r="AK5" s="1013">
        <f t="shared" si="1"/>
        <v>0.70700248641783503</v>
      </c>
      <c r="AL5" s="1013" t="str">
        <f t="shared" si="2"/>
        <v/>
      </c>
      <c r="AM5" s="1013"/>
      <c r="AN5" s="1014">
        <f t="shared" si="4"/>
        <v>3220.7640225672717</v>
      </c>
      <c r="AO5" s="1014">
        <f t="shared" si="5"/>
        <v>3220.7640225672717</v>
      </c>
      <c r="AP5" s="1014"/>
      <c r="AQ5" s="1015">
        <v>-282.9376054</v>
      </c>
      <c r="AR5" s="1015"/>
      <c r="AS5" s="1016">
        <f>$AW5/$W5</f>
        <v>0.61797720205075168</v>
      </c>
      <c r="AT5" s="1083">
        <f>$AX5/($W5-$AC5)</f>
        <v>0.63304126392378957</v>
      </c>
      <c r="AU5" s="1016">
        <f>$AW5/$X5</f>
        <v>0.67891660780092355</v>
      </c>
      <c r="AV5" s="1083">
        <f>$AX5/($X5-$AD5)</f>
        <v>0.6891421323714042</v>
      </c>
      <c r="AW5" s="1011">
        <f>$AX5+$AQ5</f>
        <v>3092.8182386000003</v>
      </c>
      <c r="AX5" s="1007">
        <f>(1+$K5)*$O5-$AR5</f>
        <v>3375.7558440000003</v>
      </c>
      <c r="AY5" s="1003"/>
      <c r="AZ5" s="1003"/>
      <c r="BA5" s="534" t="s">
        <v>1671</v>
      </c>
      <c r="BC5" s="534" t="s">
        <v>1642</v>
      </c>
    </row>
    <row r="6" spans="1:55" x14ac:dyDescent="0.25">
      <c r="A6" s="992" t="s">
        <v>315</v>
      </c>
      <c r="B6" s="993" t="s">
        <v>304</v>
      </c>
      <c r="C6" s="994" t="s">
        <v>26</v>
      </c>
      <c r="D6" s="993"/>
      <c r="E6" s="995"/>
      <c r="F6" s="995"/>
      <c r="G6" s="993"/>
      <c r="H6" s="993" t="s">
        <v>585</v>
      </c>
      <c r="I6" s="993"/>
      <c r="J6" s="993" t="s">
        <v>585</v>
      </c>
      <c r="K6" s="993" t="s">
        <v>585</v>
      </c>
      <c r="L6" s="993" t="s">
        <v>588</v>
      </c>
      <c r="M6" s="993">
        <v>1990</v>
      </c>
      <c r="N6" s="995">
        <v>4.7131418878870344</v>
      </c>
      <c r="O6" s="995"/>
      <c r="P6" s="993"/>
      <c r="Q6" s="993" t="s">
        <v>587</v>
      </c>
      <c r="R6" s="993"/>
      <c r="S6" s="993"/>
      <c r="T6" s="995">
        <v>4.7131418878870344</v>
      </c>
      <c r="U6" s="995"/>
      <c r="V6" s="995">
        <v>3.0768</v>
      </c>
      <c r="W6" s="996"/>
      <c r="X6" s="996">
        <v>5.4373100000000001</v>
      </c>
      <c r="Y6" s="993" t="s">
        <v>587</v>
      </c>
      <c r="Z6" s="995">
        <v>5.4373100000000001</v>
      </c>
      <c r="AA6" s="995">
        <v>2.7877999999999998</v>
      </c>
      <c r="AB6" s="993"/>
      <c r="AC6" s="997"/>
      <c r="AD6" s="997"/>
      <c r="AE6" s="997" t="str">
        <f t="shared" si="3"/>
        <v>&lt;0.1%</v>
      </c>
      <c r="AF6" s="997"/>
      <c r="AG6" s="997"/>
      <c r="AH6" s="998">
        <v>2030</v>
      </c>
      <c r="AI6" s="993"/>
      <c r="AJ6" s="999">
        <f t="shared" si="0"/>
        <v>0.52008900223313004</v>
      </c>
      <c r="AK6" s="999">
        <f t="shared" si="1"/>
        <v>0.52008900223313004</v>
      </c>
      <c r="AL6" s="999" t="str">
        <f t="shared" si="2"/>
        <v/>
      </c>
      <c r="AM6" s="999"/>
      <c r="AN6" s="995">
        <f t="shared" si="4"/>
        <v>2.8278851327322205</v>
      </c>
      <c r="AO6" s="1000">
        <f t="shared" si="5"/>
        <v>2.8278851327322205</v>
      </c>
      <c r="AP6" s="995"/>
      <c r="AQ6" s="1017"/>
      <c r="AR6" s="1017"/>
      <c r="AS6" s="1017"/>
      <c r="AT6" s="1017"/>
      <c r="AU6" s="1017"/>
      <c r="AV6" s="1017"/>
      <c r="AW6" s="1017"/>
      <c r="AX6" s="1017"/>
      <c r="AY6" s="993"/>
      <c r="AZ6" s="993"/>
    </row>
    <row r="7" spans="1:55" x14ac:dyDescent="0.25">
      <c r="A7" s="1002" t="s">
        <v>313</v>
      </c>
      <c r="B7" s="1003" t="s">
        <v>304</v>
      </c>
      <c r="C7" s="1018" t="s">
        <v>312</v>
      </c>
      <c r="D7" s="1003" t="s">
        <v>575</v>
      </c>
      <c r="E7" s="1014"/>
      <c r="F7" s="1014"/>
      <c r="G7" s="1003" t="s">
        <v>589</v>
      </c>
      <c r="H7" s="1003" t="s">
        <v>590</v>
      </c>
      <c r="I7" s="1003" t="s">
        <v>591</v>
      </c>
      <c r="J7" s="1003" t="s">
        <v>590</v>
      </c>
      <c r="K7" s="1003" t="s">
        <v>591</v>
      </c>
      <c r="L7" s="1003" t="s">
        <v>579</v>
      </c>
      <c r="M7" s="1003">
        <v>2030</v>
      </c>
      <c r="N7" s="1014">
        <f>$R7</f>
        <v>17.663</v>
      </c>
      <c r="O7" s="1014"/>
      <c r="P7" s="1003"/>
      <c r="Q7" s="1003" t="s">
        <v>2513</v>
      </c>
      <c r="R7" s="1014">
        <v>17.663</v>
      </c>
      <c r="S7" s="1014"/>
      <c r="T7" s="1014"/>
      <c r="U7" s="1014"/>
      <c r="V7" s="1014" t="s">
        <v>2401</v>
      </c>
      <c r="W7" s="1009"/>
      <c r="X7" s="1009">
        <v>9</v>
      </c>
      <c r="Y7" s="1003" t="s">
        <v>2513</v>
      </c>
      <c r="Z7" s="1014"/>
      <c r="AA7" s="1014">
        <v>12.083299999999999</v>
      </c>
      <c r="AB7" s="1003">
        <v>9</v>
      </c>
      <c r="AC7" s="1012"/>
      <c r="AD7" s="1012"/>
      <c r="AE7" s="1012" t="str">
        <f t="shared" si="3"/>
        <v>&lt;0.1%</v>
      </c>
      <c r="AF7" s="1012"/>
      <c r="AG7" s="1012"/>
      <c r="AH7" s="1005">
        <v>2030</v>
      </c>
      <c r="AI7" s="1003"/>
      <c r="AJ7" s="1013">
        <f t="shared" si="0"/>
        <v>1.3737888888888887</v>
      </c>
      <c r="AK7" s="1013">
        <f t="shared" si="1"/>
        <v>1.2560355555555556</v>
      </c>
      <c r="AL7" s="1013" t="str">
        <f t="shared" si="2"/>
        <v/>
      </c>
      <c r="AM7" s="1013"/>
      <c r="AN7" s="1014">
        <f t="shared" si="4"/>
        <v>12.364099999999999</v>
      </c>
      <c r="AO7" s="1010">
        <f t="shared" si="5"/>
        <v>11.304320000000001</v>
      </c>
      <c r="AP7" s="1014"/>
      <c r="AQ7" s="1019"/>
      <c r="AR7" s="1019"/>
      <c r="AS7" s="1019"/>
      <c r="AT7" s="1019"/>
      <c r="AU7" s="1019"/>
      <c r="AV7" s="1019"/>
      <c r="AW7" s="1019"/>
      <c r="AX7" s="1019"/>
      <c r="AY7" s="1003"/>
      <c r="AZ7" s="1003"/>
    </row>
    <row r="8" spans="1:55" x14ac:dyDescent="0.25">
      <c r="A8" s="992" t="s">
        <v>309</v>
      </c>
      <c r="B8" s="993" t="s">
        <v>304</v>
      </c>
      <c r="C8" s="994" t="s">
        <v>28</v>
      </c>
      <c r="D8" s="993"/>
      <c r="E8" s="995"/>
      <c r="F8" s="995"/>
      <c r="G8" s="993"/>
      <c r="H8" s="993" t="s">
        <v>592</v>
      </c>
      <c r="I8" s="993"/>
      <c r="J8" s="993" t="s">
        <v>585</v>
      </c>
      <c r="K8" s="993" t="s">
        <v>585</v>
      </c>
      <c r="L8" s="993" t="s">
        <v>588</v>
      </c>
      <c r="M8" s="993">
        <v>1990</v>
      </c>
      <c r="N8" s="995">
        <v>40.322825038036179</v>
      </c>
      <c r="O8" s="995"/>
      <c r="P8" s="993"/>
      <c r="Q8" s="993" t="s">
        <v>587</v>
      </c>
      <c r="R8" s="993"/>
      <c r="S8" s="993"/>
      <c r="T8" s="995">
        <v>40.322825038036179</v>
      </c>
      <c r="U8" s="995"/>
      <c r="V8" s="995">
        <v>35.5593</v>
      </c>
      <c r="W8" s="996"/>
      <c r="X8" s="996">
        <v>27.602714943482091</v>
      </c>
      <c r="Y8" s="993" t="s">
        <v>587</v>
      </c>
      <c r="Z8" s="995">
        <v>27.602714943482091</v>
      </c>
      <c r="AA8" s="995">
        <v>27.5564</v>
      </c>
      <c r="AB8" s="993"/>
      <c r="AC8" s="997"/>
      <c r="AD8" s="997"/>
      <c r="AE8" s="997" t="str">
        <f t="shared" si="3"/>
        <v>&lt;0.1%</v>
      </c>
      <c r="AF8" s="997"/>
      <c r="AG8" s="997"/>
      <c r="AH8" s="998">
        <v>2030</v>
      </c>
      <c r="AI8" s="993"/>
      <c r="AJ8" s="999">
        <f t="shared" si="0"/>
        <v>0.87649693417330432</v>
      </c>
      <c r="AK8" s="999">
        <f t="shared" si="1"/>
        <v>0.87649693417330432</v>
      </c>
      <c r="AL8" s="999" t="str">
        <f t="shared" si="2"/>
        <v/>
      </c>
      <c r="AM8" s="999"/>
      <c r="AN8" s="995">
        <f t="shared" si="4"/>
        <v>24.193695022821707</v>
      </c>
      <c r="AO8" s="1000">
        <f t="shared" si="5"/>
        <v>24.193695022821707</v>
      </c>
      <c r="AP8" s="995"/>
      <c r="AQ8" s="1017"/>
      <c r="AR8" s="1017"/>
      <c r="AS8" s="1017"/>
      <c r="AT8" s="1017"/>
      <c r="AU8" s="1017"/>
      <c r="AV8" s="1017"/>
      <c r="AW8" s="1017"/>
      <c r="AX8" s="1017"/>
      <c r="AY8" s="993"/>
      <c r="AZ8" s="993"/>
    </row>
    <row r="9" spans="1:55" x14ac:dyDescent="0.25">
      <c r="A9" s="1002" t="s">
        <v>307</v>
      </c>
      <c r="B9" s="1003" t="s">
        <v>304</v>
      </c>
      <c r="C9" s="1018" t="s">
        <v>306</v>
      </c>
      <c r="D9" s="1003"/>
      <c r="E9" s="1014"/>
      <c r="F9" s="1014"/>
      <c r="G9" s="1003"/>
      <c r="H9" s="1003" t="s">
        <v>593</v>
      </c>
      <c r="I9" s="1003"/>
      <c r="J9" s="1003" t="s">
        <v>594</v>
      </c>
      <c r="K9" s="1003" t="s">
        <v>594</v>
      </c>
      <c r="L9" s="1003" t="s">
        <v>588</v>
      </c>
      <c r="M9" s="1003">
        <v>1990</v>
      </c>
      <c r="N9" s="1014">
        <f>$V9</f>
        <v>-12.768755110000001</v>
      </c>
      <c r="O9" s="1014"/>
      <c r="P9" s="1003"/>
      <c r="Q9" s="1003" t="s">
        <v>580</v>
      </c>
      <c r="R9" s="1003"/>
      <c r="S9" s="1003"/>
      <c r="T9" s="1014"/>
      <c r="U9" s="1014"/>
      <c r="V9" s="1014">
        <v>-12.768755110000001</v>
      </c>
      <c r="W9" s="1009"/>
      <c r="X9" s="1009">
        <f>$AA9</f>
        <v>-12.768800000000001</v>
      </c>
      <c r="Y9" s="1003" t="s">
        <v>580</v>
      </c>
      <c r="Z9" s="1014"/>
      <c r="AA9" s="1014">
        <v>-12.768800000000001</v>
      </c>
      <c r="AB9" s="1003"/>
      <c r="AC9" s="1012"/>
      <c r="AD9" s="1012"/>
      <c r="AE9" s="1012" t="str">
        <f t="shared" si="3"/>
        <v>&lt;0.1%</v>
      </c>
      <c r="AF9" s="1012"/>
      <c r="AG9" s="1012"/>
      <c r="AH9" s="1005">
        <v>2030</v>
      </c>
      <c r="AI9" s="1003"/>
      <c r="AJ9" s="1013">
        <f t="shared" si="0"/>
        <v>0.8999968359595264</v>
      </c>
      <c r="AK9" s="1013">
        <f t="shared" si="1"/>
        <v>0.8999968359595264</v>
      </c>
      <c r="AL9" s="1013" t="str">
        <f t="shared" si="2"/>
        <v/>
      </c>
      <c r="AM9" s="1013"/>
      <c r="AN9" s="1014">
        <f t="shared" si="4"/>
        <v>-11.491879599000001</v>
      </c>
      <c r="AO9" s="1010">
        <f t="shared" si="5"/>
        <v>-11.491879599000001</v>
      </c>
      <c r="AP9" s="1014"/>
      <c r="AQ9" s="1019"/>
      <c r="AR9" s="1019"/>
      <c r="AS9" s="1019"/>
      <c r="AT9" s="1019"/>
      <c r="AU9" s="1019"/>
      <c r="AV9" s="1019"/>
      <c r="AW9" s="1019"/>
      <c r="AX9" s="1019"/>
      <c r="AY9" s="1003"/>
      <c r="AZ9" s="1003"/>
    </row>
    <row r="10" spans="1:55" x14ac:dyDescent="0.25">
      <c r="A10" s="992" t="s">
        <v>305</v>
      </c>
      <c r="B10" s="993" t="s">
        <v>304</v>
      </c>
      <c r="C10" s="994" t="s">
        <v>30</v>
      </c>
      <c r="D10" s="993" t="s">
        <v>582</v>
      </c>
      <c r="E10" s="995"/>
      <c r="F10" s="995"/>
      <c r="G10" s="993" t="s">
        <v>583</v>
      </c>
      <c r="H10" s="993" t="s">
        <v>595</v>
      </c>
      <c r="I10" s="993"/>
      <c r="J10" s="993" t="s">
        <v>595</v>
      </c>
      <c r="K10" s="993" t="s">
        <v>595</v>
      </c>
      <c r="L10" s="993" t="s">
        <v>588</v>
      </c>
      <c r="M10" s="993">
        <v>1990</v>
      </c>
      <c r="N10" s="995">
        <f>$R10</f>
        <v>53.3</v>
      </c>
      <c r="O10" s="995"/>
      <c r="P10" s="993"/>
      <c r="Q10" s="993" t="s">
        <v>2513</v>
      </c>
      <c r="R10" s="993">
        <v>53.3</v>
      </c>
      <c r="S10" s="993"/>
      <c r="T10" s="995">
        <v>51.078272775492941</v>
      </c>
      <c r="U10" s="995"/>
      <c r="V10" s="995">
        <v>51.360399999999998</v>
      </c>
      <c r="W10" s="996"/>
      <c r="X10" s="996">
        <v>53.213595400393928</v>
      </c>
      <c r="Y10" s="993" t="s">
        <v>587</v>
      </c>
      <c r="Z10" s="995">
        <v>53.213595400393928</v>
      </c>
      <c r="AA10" s="995">
        <v>50.718299999999999</v>
      </c>
      <c r="AB10" s="993"/>
      <c r="AC10" s="997"/>
      <c r="AD10" s="997"/>
      <c r="AE10" s="997">
        <f t="shared" si="3"/>
        <v>1.140803701928111E-3</v>
      </c>
      <c r="AF10" s="997"/>
      <c r="AG10" s="997"/>
      <c r="AH10" s="998">
        <v>2030</v>
      </c>
      <c r="AI10" s="993"/>
      <c r="AJ10" s="999">
        <f t="shared" si="0"/>
        <v>0.50081186583011295</v>
      </c>
      <c r="AK10" s="999">
        <f t="shared" si="1"/>
        <v>0.50081186583011295</v>
      </c>
      <c r="AL10" s="999" t="str">
        <f t="shared" si="2"/>
        <v/>
      </c>
      <c r="AM10" s="999"/>
      <c r="AN10" s="995">
        <f t="shared" si="4"/>
        <v>26.65</v>
      </c>
      <c r="AO10" s="1000">
        <f t="shared" si="5"/>
        <v>26.65</v>
      </c>
      <c r="AP10" s="995"/>
      <c r="AQ10" s="1017"/>
      <c r="AR10" s="1017"/>
      <c r="AS10" s="1017"/>
      <c r="AT10" s="1017"/>
      <c r="AU10" s="1017"/>
      <c r="AV10" s="1017"/>
      <c r="AW10" s="1017"/>
      <c r="AX10" s="1017"/>
      <c r="AY10" s="993"/>
      <c r="AZ10" s="1020"/>
    </row>
    <row r="11" spans="1:55" s="19" customFormat="1" x14ac:dyDescent="0.25">
      <c r="A11" s="1021"/>
      <c r="B11" s="982" t="s">
        <v>303</v>
      </c>
      <c r="C11" s="983"/>
      <c r="D11" s="1022"/>
      <c r="E11" s="985"/>
      <c r="F11" s="985"/>
      <c r="G11" s="1022"/>
      <c r="H11" s="1022"/>
      <c r="I11" s="1022"/>
      <c r="J11" s="1022"/>
      <c r="K11" s="1022"/>
      <c r="L11" s="1022"/>
      <c r="M11" s="1022"/>
      <c r="N11" s="985"/>
      <c r="O11" s="985"/>
      <c r="P11" s="1022"/>
      <c r="Q11" s="1022"/>
      <c r="R11" s="1022"/>
      <c r="S11" s="1022"/>
      <c r="T11" s="985"/>
      <c r="U11" s="985"/>
      <c r="V11" s="985" t="s">
        <v>2401</v>
      </c>
      <c r="W11" s="1023"/>
      <c r="X11" s="1023"/>
      <c r="Y11" s="1022"/>
      <c r="Z11" s="985"/>
      <c r="AA11" s="985" t="s">
        <v>2401</v>
      </c>
      <c r="AB11" s="1022"/>
      <c r="AC11" s="1022"/>
      <c r="AD11" s="1022"/>
      <c r="AE11" s="1024"/>
      <c r="AF11" s="1024"/>
      <c r="AG11" s="1024"/>
      <c r="AH11" s="1025"/>
      <c r="AI11" s="1022"/>
      <c r="AJ11" s="1026" t="str">
        <f t="shared" si="0"/>
        <v/>
      </c>
      <c r="AK11" s="984" t="str">
        <f t="shared" si="1"/>
        <v/>
      </c>
      <c r="AL11" s="988" t="str">
        <f t="shared" si="2"/>
        <v/>
      </c>
      <c r="AM11" s="988"/>
      <c r="AN11" s="985" t="str">
        <f t="shared" si="4"/>
        <v/>
      </c>
      <c r="AO11" s="985" t="str">
        <f t="shared" si="5"/>
        <v/>
      </c>
      <c r="AP11" s="985"/>
      <c r="AQ11" s="1027"/>
      <c r="AR11" s="1027"/>
      <c r="AS11" s="1027"/>
      <c r="AT11" s="1027"/>
      <c r="AU11" s="1027"/>
      <c r="AV11" s="1027"/>
      <c r="AW11" s="1028"/>
      <c r="AX11" s="1028"/>
      <c r="AY11" s="1022"/>
      <c r="AZ11" s="1029"/>
    </row>
    <row r="12" spans="1:55" x14ac:dyDescent="0.25">
      <c r="A12" s="992" t="s">
        <v>302</v>
      </c>
      <c r="B12" s="993" t="s">
        <v>300</v>
      </c>
      <c r="C12" s="1004" t="s">
        <v>18</v>
      </c>
      <c r="D12" s="993" t="s">
        <v>582</v>
      </c>
      <c r="E12" s="1030" t="s">
        <v>687</v>
      </c>
      <c r="F12" s="1000" t="s">
        <v>1641</v>
      </c>
      <c r="G12" s="1031" t="s">
        <v>583</v>
      </c>
      <c r="H12" s="993" t="s">
        <v>590</v>
      </c>
      <c r="I12" s="993"/>
      <c r="J12" s="993" t="s">
        <v>590</v>
      </c>
      <c r="K12" s="993" t="s">
        <v>590</v>
      </c>
      <c r="L12" s="993" t="s">
        <v>597</v>
      </c>
      <c r="M12" s="993">
        <v>2005</v>
      </c>
      <c r="N12" s="995">
        <f>$T12</f>
        <v>789.24139277305596</v>
      </c>
      <c r="O12" s="1032">
        <f>$U12</f>
        <v>735.82905000000005</v>
      </c>
      <c r="P12" s="1030" t="s">
        <v>686</v>
      </c>
      <c r="Q12" s="1030" t="s">
        <v>587</v>
      </c>
      <c r="R12" s="1030"/>
      <c r="S12" s="1030"/>
      <c r="T12" s="1000">
        <v>789.24139277305596</v>
      </c>
      <c r="U12" s="1033">
        <v>735.82905000000005</v>
      </c>
      <c r="V12" s="1000">
        <v>722.57420000000002</v>
      </c>
      <c r="W12" s="1034">
        <f>10^-3*'History GHG emissions G20'!C13</f>
        <v>1017.0298969</v>
      </c>
      <c r="X12" s="1034">
        <f>10^-3*'History GHG emissions G20'!E13</f>
        <v>916.54208119999998</v>
      </c>
      <c r="Y12" s="1030" t="s">
        <v>2088</v>
      </c>
      <c r="Z12" s="1000">
        <v>775.0451575548002</v>
      </c>
      <c r="AA12" s="1000">
        <v>860.43510000000003</v>
      </c>
      <c r="AB12" s="1030"/>
      <c r="AC12" s="1034">
        <f>10^-3*'History GHG emissions G20'!J13</f>
        <v>250.02989690000001</v>
      </c>
      <c r="AD12" s="1034">
        <f>10^-3*'History GHG emissions G20'!N13</f>
        <v>175.54208119999998</v>
      </c>
      <c r="AE12" s="997">
        <f>IF(AA12="","&lt;0.1%",IF(AA12/$AA$81&lt;0.001,"&lt;0.1%",AA12/$AA$81))</f>
        <v>1.9353715470528082E-2</v>
      </c>
      <c r="AF12" s="997"/>
      <c r="AG12" s="997"/>
      <c r="AH12" s="998">
        <v>2030</v>
      </c>
      <c r="AI12" s="993">
        <v>980</v>
      </c>
      <c r="AJ12" s="999">
        <f t="shared" si="0"/>
        <v>0.6027753512613504</v>
      </c>
      <c r="AK12" s="999">
        <f t="shared" si="1"/>
        <v>0.6027753512613504</v>
      </c>
      <c r="AL12" s="999" t="str">
        <f t="shared" si="2"/>
        <v/>
      </c>
      <c r="AM12" s="999"/>
      <c r="AN12" s="995">
        <f t="shared" si="4"/>
        <v>552.46897494113909</v>
      </c>
      <c r="AO12" s="995">
        <f t="shared" si="5"/>
        <v>552.46897494113909</v>
      </c>
      <c r="AP12" s="995"/>
      <c r="AQ12" s="1035">
        <v>-28</v>
      </c>
      <c r="AR12" s="1036">
        <f>(0.02-0.05)*10^3</f>
        <v>-30.000000000000004</v>
      </c>
      <c r="AS12" s="1037">
        <f>$AW12/$W12</f>
        <v>0.50842196141539997</v>
      </c>
      <c r="AT12" s="1084">
        <f>$AX12/($W12-$AC12)</f>
        <v>0.71066536505867017</v>
      </c>
      <c r="AU12" s="1037">
        <f>$AW12/$X12</f>
        <v>0.56416431455389682</v>
      </c>
      <c r="AV12" s="1084">
        <f>$AX12/($X12-$AD12)</f>
        <v>0.73560099190283401</v>
      </c>
      <c r="AW12" s="1034">
        <f>$AX12+$AQ12</f>
        <v>517.08033499999999</v>
      </c>
      <c r="AX12" s="1034">
        <f>$O12*(1+$K12)-$AR12</f>
        <v>545.08033499999999</v>
      </c>
      <c r="AY12" s="993"/>
      <c r="AZ12" s="993"/>
      <c r="BA12" s="534" t="s">
        <v>1671</v>
      </c>
      <c r="BC12" s="534" t="s">
        <v>1649</v>
      </c>
    </row>
    <row r="13" spans="1:55" x14ac:dyDescent="0.25">
      <c r="A13" s="1002" t="s">
        <v>301</v>
      </c>
      <c r="B13" s="1003" t="s">
        <v>300</v>
      </c>
      <c r="C13" s="1004" t="s">
        <v>15</v>
      </c>
      <c r="D13" s="1003" t="s">
        <v>582</v>
      </c>
      <c r="E13" s="1003" t="s">
        <v>687</v>
      </c>
      <c r="F13" s="1010" t="s">
        <v>1648</v>
      </c>
      <c r="G13" s="1003" t="s">
        <v>583</v>
      </c>
      <c r="H13" s="1003" t="s">
        <v>599</v>
      </c>
      <c r="I13" s="1003" t="s">
        <v>591</v>
      </c>
      <c r="J13" s="1003" t="s">
        <v>599</v>
      </c>
      <c r="K13" s="1003" t="s">
        <v>591</v>
      </c>
      <c r="L13" s="1003" t="s">
        <v>579</v>
      </c>
      <c r="M13" s="1003">
        <v>2030</v>
      </c>
      <c r="N13" s="1010">
        <f>'NDC information'!$D$63</f>
        <v>973</v>
      </c>
      <c r="O13" s="1038" t="s">
        <v>685</v>
      </c>
      <c r="P13" s="1008" t="str">
        <f>'NDC information'!$A$61</f>
        <v>AR5</v>
      </c>
      <c r="Q13" s="1008" t="s">
        <v>2513</v>
      </c>
      <c r="R13" s="1010">
        <f>'NDC information'!$D$63</f>
        <v>973</v>
      </c>
      <c r="S13" s="1010"/>
      <c r="T13" s="1010"/>
      <c r="U13" s="1010"/>
      <c r="V13" s="1010" t="s">
        <v>2401</v>
      </c>
      <c r="W13" s="1011">
        <f>10^-3*'History GHG emissions G20'!C14</f>
        <v>691.9</v>
      </c>
      <c r="X13" s="1011">
        <f>10^-3*'History GHG emissions G20'!E14</f>
        <v>728.9</v>
      </c>
      <c r="Y13" s="1008" t="s">
        <v>2088</v>
      </c>
      <c r="Z13" s="1014"/>
      <c r="AA13" s="1014">
        <v>728.70249999999999</v>
      </c>
      <c r="AB13" s="1003"/>
      <c r="AC13" s="1011">
        <f>10^-3*'History GHG emissions G20'!J14</f>
        <v>17.600000000000001</v>
      </c>
      <c r="AD13" s="1011">
        <f>10^-3*'History GHG emissions G20'!N14</f>
        <v>11</v>
      </c>
      <c r="AE13" s="1012">
        <f>IF(AA13="","&lt;0.1%",IF(AA13/$AA$81&lt;0.001,"&lt;0.1%",AA13/$AA$81))</f>
        <v>1.6390661942617742E-2</v>
      </c>
      <c r="AF13" s="1012"/>
      <c r="AG13" s="1012"/>
      <c r="AH13" s="1005">
        <v>2030</v>
      </c>
      <c r="AI13" s="1003">
        <v>1110</v>
      </c>
      <c r="AJ13" s="1013">
        <f t="shared" si="0"/>
        <v>1.0412127863904515</v>
      </c>
      <c r="AK13" s="1013">
        <f t="shared" si="1"/>
        <v>0.85432844011524223</v>
      </c>
      <c r="AL13" s="1013" t="str">
        <f t="shared" si="2"/>
        <v/>
      </c>
      <c r="AM13" s="1013"/>
      <c r="AN13" s="1014">
        <f t="shared" si="4"/>
        <v>758.94</v>
      </c>
      <c r="AO13" s="1014">
        <f t="shared" si="5"/>
        <v>622.72</v>
      </c>
      <c r="AP13" s="1014"/>
      <c r="AQ13" s="1015">
        <v>0</v>
      </c>
      <c r="AR13" s="1015"/>
      <c r="AS13" s="1016">
        <f>$AW13/$W13</f>
        <v>0.90001445295562954</v>
      </c>
      <c r="AT13" s="1083">
        <f>$AX13/($W13-$AC13)</f>
        <v>0.92350585792673889</v>
      </c>
      <c r="AU13" s="1016">
        <f>$AW13/$X13</f>
        <v>0.85432844011524223</v>
      </c>
      <c r="AV13" s="1083">
        <f>$AX13/($X13-$AD13)</f>
        <v>0.86741886056553841</v>
      </c>
      <c r="AW13" s="1011">
        <f>$N13*(1+$K13)</f>
        <v>622.72</v>
      </c>
      <c r="AX13" s="1011">
        <f>$AW13-$AQ13</f>
        <v>622.72</v>
      </c>
      <c r="AY13" s="1005" t="s">
        <v>600</v>
      </c>
      <c r="AZ13" s="1003"/>
      <c r="BA13" s="534" t="s">
        <v>1671</v>
      </c>
      <c r="BB13" s="534" t="s">
        <v>1672</v>
      </c>
    </row>
    <row r="14" spans="1:55" x14ac:dyDescent="0.25">
      <c r="A14" s="992" t="s">
        <v>22</v>
      </c>
      <c r="B14" s="993" t="s">
        <v>300</v>
      </c>
      <c r="C14" s="1004" t="s">
        <v>22</v>
      </c>
      <c r="D14" s="993" t="s">
        <v>582</v>
      </c>
      <c r="E14" s="993" t="s">
        <v>687</v>
      </c>
      <c r="F14" s="1000" t="s">
        <v>1648</v>
      </c>
      <c r="G14" s="993" t="s">
        <v>583</v>
      </c>
      <c r="H14" s="993" t="s">
        <v>601</v>
      </c>
      <c r="I14" s="993" t="s">
        <v>602</v>
      </c>
      <c r="J14" s="993" t="s">
        <v>601</v>
      </c>
      <c r="K14" s="993" t="s">
        <v>602</v>
      </c>
      <c r="L14" s="993" t="s">
        <v>603</v>
      </c>
      <c r="M14" s="993">
        <v>2005</v>
      </c>
      <c r="N14" s="995">
        <f>$T14</f>
        <v>6223.0639508305258</v>
      </c>
      <c r="O14" s="1036">
        <f>$U14</f>
        <v>7228.2931600000002</v>
      </c>
      <c r="P14" s="1030" t="s">
        <v>686</v>
      </c>
      <c r="Q14" s="1030" t="s">
        <v>587</v>
      </c>
      <c r="R14" s="1030"/>
      <c r="S14" s="1030"/>
      <c r="T14" s="1000">
        <v>6223.0639508305258</v>
      </c>
      <c r="U14" s="1000">
        <v>7228.2931600000002</v>
      </c>
      <c r="V14" s="1000">
        <v>6480.3216000000002</v>
      </c>
      <c r="W14" s="1034">
        <f>10^-3*'History GHG emissions G20'!C15</f>
        <v>7042.5511549000003</v>
      </c>
      <c r="X14" s="1034">
        <f>10^-3*'History GHG emissions G20'!E15</f>
        <v>6648.8164904999994</v>
      </c>
      <c r="Y14" s="1030" t="s">
        <v>2088</v>
      </c>
      <c r="Z14" s="1000">
        <v>5906.7341646485947</v>
      </c>
      <c r="AA14" s="1000">
        <v>6147.4080999999996</v>
      </c>
      <c r="AB14" s="1030"/>
      <c r="AC14" s="1034">
        <f>10^-3*'History GHG emissions G20'!J15</f>
        <v>-357.36254509999998</v>
      </c>
      <c r="AD14" s="1034">
        <f>10^-3*'History GHG emissions G20'!N15</f>
        <v>-371.09310950000003</v>
      </c>
      <c r="AE14" s="997">
        <f>IF(AA14="","&lt;0.1%",IF(AA14/$AA$81&lt;0.001,"&lt;0.1%",AA14/$AA$81))</f>
        <v>0.13827328435185832</v>
      </c>
      <c r="AF14" s="997"/>
      <c r="AG14" s="997"/>
      <c r="AH14" s="998">
        <v>2025</v>
      </c>
      <c r="AI14" s="993">
        <v>7500</v>
      </c>
      <c r="AJ14" s="999">
        <f t="shared" si="0"/>
        <v>0.69261459241572221</v>
      </c>
      <c r="AK14" s="1039">
        <f t="shared" si="1"/>
        <v>0.67389527910718905</v>
      </c>
      <c r="AL14" s="999" t="str">
        <f t="shared" si="2"/>
        <v/>
      </c>
      <c r="AM14" s="999">
        <v>0.59</v>
      </c>
      <c r="AN14" s="995">
        <f t="shared" si="4"/>
        <v>4605.0673236145894</v>
      </c>
      <c r="AO14" s="995">
        <f t="shared" si="5"/>
        <v>4480.6060445979783</v>
      </c>
      <c r="AP14" s="995"/>
      <c r="AQ14" s="1036">
        <f>-0.97*10^3</f>
        <v>-970</v>
      </c>
      <c r="AR14" s="1035"/>
      <c r="AS14" s="1037">
        <f>$AW14/$W14</f>
        <v>0.64505554651818342</v>
      </c>
      <c r="AT14" s="1084">
        <f>$AX14/($W14-$AC14)</f>
        <v>0.74498661843938574</v>
      </c>
      <c r="AU14" s="1037">
        <f>$AW14/$X14</f>
        <v>0.68325493576145557</v>
      </c>
      <c r="AV14" s="1084">
        <f>$AX14/($X14-$AD14)</f>
        <v>0.78531448383698332</v>
      </c>
      <c r="AW14" s="1034">
        <f>$N14*(1+0.5*$J14+0.5*$K14)</f>
        <v>4542.8366841062834</v>
      </c>
      <c r="AX14" s="1034">
        <f>$AW14-$AQ14</f>
        <v>5512.8366841062834</v>
      </c>
      <c r="AY14" s="993"/>
      <c r="AZ14" s="993"/>
      <c r="BA14" s="534" t="s">
        <v>1649</v>
      </c>
    </row>
    <row r="15" spans="1:55" s="19" customFormat="1" x14ac:dyDescent="0.25">
      <c r="A15" s="1021"/>
      <c r="B15" s="982" t="s">
        <v>299</v>
      </c>
      <c r="C15" s="983"/>
      <c r="D15" s="1022"/>
      <c r="E15" s="985"/>
      <c r="F15" s="985"/>
      <c r="G15" s="1022"/>
      <c r="H15" s="1022"/>
      <c r="I15" s="1022"/>
      <c r="J15" s="1022"/>
      <c r="K15" s="1022"/>
      <c r="L15" s="1022"/>
      <c r="M15" s="1022"/>
      <c r="N15" s="985"/>
      <c r="O15" s="985"/>
      <c r="P15" s="1022"/>
      <c r="Q15" s="1022"/>
      <c r="R15" s="1022"/>
      <c r="S15" s="1022"/>
      <c r="T15" s="985"/>
      <c r="U15" s="985"/>
      <c r="V15" s="985" t="s">
        <v>2401</v>
      </c>
      <c r="W15" s="1023"/>
      <c r="X15" s="1023"/>
      <c r="Y15" s="1022"/>
      <c r="Z15" s="985"/>
      <c r="AA15" s="985" t="s">
        <v>2401</v>
      </c>
      <c r="AB15" s="1022"/>
      <c r="AC15" s="1022"/>
      <c r="AD15" s="1022"/>
      <c r="AE15" s="1024"/>
      <c r="AF15" s="1024"/>
      <c r="AG15" s="1024"/>
      <c r="AH15" s="1025"/>
      <c r="AI15" s="1022"/>
      <c r="AJ15" s="1026" t="str">
        <f t="shared" si="0"/>
        <v/>
      </c>
      <c r="AK15" s="984" t="str">
        <f t="shared" si="1"/>
        <v/>
      </c>
      <c r="AL15" s="988" t="str">
        <f t="shared" si="2"/>
        <v/>
      </c>
      <c r="AM15" s="988"/>
      <c r="AN15" s="985" t="str">
        <f t="shared" si="4"/>
        <v/>
      </c>
      <c r="AO15" s="985" t="str">
        <f t="shared" si="5"/>
        <v/>
      </c>
      <c r="AP15" s="985"/>
      <c r="AQ15" s="1027"/>
      <c r="AR15" s="1027"/>
      <c r="AS15" s="1027"/>
      <c r="AT15" s="1027"/>
      <c r="AU15" s="1027"/>
      <c r="AV15" s="1027"/>
      <c r="AW15" s="1040"/>
      <c r="AX15" s="1040"/>
      <c r="AY15" s="1022"/>
      <c r="AZ15" s="1029"/>
    </row>
    <row r="16" spans="1:55" x14ac:dyDescent="0.25">
      <c r="A16" s="992" t="s">
        <v>298</v>
      </c>
      <c r="B16" s="993" t="s">
        <v>253</v>
      </c>
      <c r="C16" s="1004" t="s">
        <v>12</v>
      </c>
      <c r="D16" s="993" t="s">
        <v>582</v>
      </c>
      <c r="E16" s="993" t="s">
        <v>687</v>
      </c>
      <c r="F16" s="1010" t="s">
        <v>1648</v>
      </c>
      <c r="G16" s="993" t="s">
        <v>583</v>
      </c>
      <c r="H16" s="993" t="s">
        <v>604</v>
      </c>
      <c r="I16" s="993" t="s">
        <v>590</v>
      </c>
      <c r="J16" s="993" t="s">
        <v>604</v>
      </c>
      <c r="K16" s="993" t="s">
        <v>590</v>
      </c>
      <c r="L16" s="993" t="s">
        <v>579</v>
      </c>
      <c r="M16" s="993">
        <v>2030</v>
      </c>
      <c r="N16" s="995">
        <f>$R16</f>
        <v>670</v>
      </c>
      <c r="O16" s="1041" t="s">
        <v>685</v>
      </c>
      <c r="P16" s="1030" t="str">
        <f>'NDC information'!$A$70</f>
        <v>SAR</v>
      </c>
      <c r="Q16" s="1030" t="s">
        <v>2513</v>
      </c>
      <c r="R16" s="1030">
        <f>'NDC information'!$D$71</f>
        <v>670</v>
      </c>
      <c r="S16" s="1030"/>
      <c r="T16" s="1000"/>
      <c r="U16" s="1000"/>
      <c r="V16" s="1000" t="s">
        <v>2401</v>
      </c>
      <c r="W16" s="1034">
        <f>'History GHG emissions G20'!C17*10^-3</f>
        <v>417.06916139999998</v>
      </c>
      <c r="X16" s="1034">
        <f>'History GHG emissions G20'!E17*10^-3</f>
        <v>426.51126669999996</v>
      </c>
      <c r="Y16" s="1030" t="s">
        <v>2088</v>
      </c>
      <c r="Z16" s="1000"/>
      <c r="AA16" s="1000">
        <v>389.37860000000001</v>
      </c>
      <c r="AB16" s="1042" t="s">
        <v>605</v>
      </c>
      <c r="AC16" s="1043">
        <f>10^-3*'History GHG emissions G20'!J17</f>
        <v>87.669161399999993</v>
      </c>
      <c r="AD16" s="1043">
        <f>10^-3*'History GHG emissions G20'!N17</f>
        <v>94.81126669999999</v>
      </c>
      <c r="AE16" s="997">
        <f t="shared" ref="AE16:AE25" si="6">IF(AA16="","&lt;0.1%",IF(AA16/$AA$81&lt;0.001,"&lt;0.1%",AA16/$AA$81))</f>
        <v>8.7582696646296351E-3</v>
      </c>
      <c r="AF16" s="997"/>
      <c r="AG16" s="997"/>
      <c r="AH16" s="998">
        <v>2030</v>
      </c>
      <c r="AI16" s="993"/>
      <c r="AJ16" s="999">
        <f t="shared" si="0"/>
        <v>1.335251948691371</v>
      </c>
      <c r="AK16" s="999">
        <f t="shared" si="1"/>
        <v>1.0996192518634818</v>
      </c>
      <c r="AL16" s="999" t="str">
        <f t="shared" si="2"/>
        <v/>
      </c>
      <c r="AM16" s="999"/>
      <c r="AN16" s="995">
        <f t="shared" si="4"/>
        <v>569.5</v>
      </c>
      <c r="AO16" s="995">
        <f t="shared" si="5"/>
        <v>468.99999999999994</v>
      </c>
      <c r="AP16" s="995"/>
      <c r="AQ16" s="1035">
        <v>115.145</v>
      </c>
      <c r="AR16" s="1035"/>
      <c r="AS16" s="1037">
        <f>$AW16/$W16</f>
        <v>1.1245137339468609</v>
      </c>
      <c r="AT16" s="1084">
        <f>$AX16/($W16-$AC16)</f>
        <v>1.0742410443230115</v>
      </c>
      <c r="AU16" s="1037">
        <f>$AW16/$X16</f>
        <v>1.0996192518634818</v>
      </c>
      <c r="AV16" s="1084">
        <f>$AX16/($X16-$AD16)</f>
        <v>1.0667922821826952</v>
      </c>
      <c r="AW16" s="1034">
        <f>$N16*(1+$K16)</f>
        <v>468.99999999999994</v>
      </c>
      <c r="AX16" s="1034">
        <f>$AW16-$AQ16</f>
        <v>353.85499999999996</v>
      </c>
      <c r="AY16" s="993"/>
      <c r="AZ16" s="1020"/>
      <c r="BA16" s="273" t="s">
        <v>1657</v>
      </c>
      <c r="BB16" s="274" t="s">
        <v>1658</v>
      </c>
    </row>
    <row r="17" spans="1:55" x14ac:dyDescent="0.25">
      <c r="A17" s="1002" t="s">
        <v>291</v>
      </c>
      <c r="B17" s="1003" t="s">
        <v>253</v>
      </c>
      <c r="C17" s="1004" t="s">
        <v>0</v>
      </c>
      <c r="D17" s="1003" t="s">
        <v>582</v>
      </c>
      <c r="E17" s="1003" t="s">
        <v>687</v>
      </c>
      <c r="F17" s="1010" t="s">
        <v>1648</v>
      </c>
      <c r="G17" s="1003" t="s">
        <v>583</v>
      </c>
      <c r="H17" s="1003" t="s">
        <v>606</v>
      </c>
      <c r="I17" s="1003"/>
      <c r="J17" s="1003" t="s">
        <v>606</v>
      </c>
      <c r="K17" s="1003" t="s">
        <v>606</v>
      </c>
      <c r="L17" s="1003" t="s">
        <v>603</v>
      </c>
      <c r="M17" s="1003">
        <v>2005</v>
      </c>
      <c r="N17" s="1044">
        <f>$R17</f>
        <v>2100</v>
      </c>
      <c r="O17" s="1045" t="s">
        <v>685</v>
      </c>
      <c r="P17" s="1046" t="str">
        <f>'NDC information'!$A$66</f>
        <v>AR5</v>
      </c>
      <c r="Q17" s="1046" t="s">
        <v>2513</v>
      </c>
      <c r="R17" s="1008">
        <f>'NDC information'!$D$67</f>
        <v>2100</v>
      </c>
      <c r="S17" s="1008"/>
      <c r="T17" s="1010">
        <v>548.42516000000001</v>
      </c>
      <c r="U17" s="1010">
        <v>523.47925999999995</v>
      </c>
      <c r="V17" s="1010">
        <v>2056.9902999999999</v>
      </c>
      <c r="W17" s="1011">
        <f>'History GHG emissions G20'!C18*10^-3</f>
        <v>2100.8667762000005</v>
      </c>
      <c r="X17" s="1011">
        <f>'History GHG emissions G20'!E18*10^-3</f>
        <v>1628.9905134999999</v>
      </c>
      <c r="Y17" s="1008" t="s">
        <v>2088</v>
      </c>
      <c r="Z17" s="1014"/>
      <c r="AA17" s="1014">
        <v>1773.7744</v>
      </c>
      <c r="AB17" s="1003"/>
      <c r="AC17" s="1011">
        <f>'History GHG emissions G20'!J18*10^-3</f>
        <v>1090.8667762</v>
      </c>
      <c r="AD17" s="1011">
        <f>'History GHG emissions G20'!N18*10^-3</f>
        <v>517.99051350000002</v>
      </c>
      <c r="AE17" s="1012">
        <f t="shared" si="6"/>
        <v>3.9897401961526989E-2</v>
      </c>
      <c r="AF17" s="1012"/>
      <c r="AG17" s="1012"/>
      <c r="AH17" s="1005">
        <v>2025</v>
      </c>
      <c r="AI17" s="1003"/>
      <c r="AJ17" s="1013">
        <f t="shared" si="0"/>
        <v>0.81215942575223599</v>
      </c>
      <c r="AK17" s="1047">
        <f t="shared" si="1"/>
        <v>0.81215942575223599</v>
      </c>
      <c r="AL17" s="1013" t="str">
        <f t="shared" si="2"/>
        <v/>
      </c>
      <c r="AM17" s="1013">
        <v>0.9006890644391613</v>
      </c>
      <c r="AN17" s="1014">
        <f t="shared" si="4"/>
        <v>1323</v>
      </c>
      <c r="AO17" s="1010">
        <f t="shared" si="5"/>
        <v>1323</v>
      </c>
      <c r="AP17" s="1014"/>
      <c r="AQ17" s="1048">
        <v>0</v>
      </c>
      <c r="AR17" s="1045"/>
      <c r="AS17" s="1049">
        <f>$AW17/$W17</f>
        <v>0.61879221220843428</v>
      </c>
      <c r="AT17" s="1085">
        <f>$AX17/($W17-$AC17)</f>
        <v>1.2871287128712865</v>
      </c>
      <c r="AU17" s="1049">
        <f>$AW17/$X17</f>
        <v>0.79804025206190987</v>
      </c>
      <c r="AV17" s="1085">
        <f>$AX17/($X17-$AD17)</f>
        <v>1.1701170117011701</v>
      </c>
      <c r="AW17" s="1007">
        <v>1300</v>
      </c>
      <c r="AX17" s="1007">
        <f>$AW17-$AQ17</f>
        <v>1300</v>
      </c>
      <c r="AY17" s="1003" t="s">
        <v>2549</v>
      </c>
      <c r="AZ17" s="1003"/>
      <c r="BA17" s="534" t="s">
        <v>1649</v>
      </c>
    </row>
    <row r="18" spans="1:55" ht="15" customHeight="1" x14ac:dyDescent="0.25">
      <c r="A18" s="992" t="s">
        <v>290</v>
      </c>
      <c r="B18" s="993" t="s">
        <v>253</v>
      </c>
      <c r="C18" s="994" t="s">
        <v>289</v>
      </c>
      <c r="D18" s="993" t="s">
        <v>582</v>
      </c>
      <c r="E18" s="995"/>
      <c r="F18" s="995"/>
      <c r="G18" s="993" t="s">
        <v>583</v>
      </c>
      <c r="H18" s="993" t="s">
        <v>590</v>
      </c>
      <c r="I18" s="993" t="s">
        <v>607</v>
      </c>
      <c r="J18" s="993" t="s">
        <v>590</v>
      </c>
      <c r="K18" s="993" t="s">
        <v>608</v>
      </c>
      <c r="L18" s="993" t="s">
        <v>609</v>
      </c>
      <c r="M18" s="993">
        <v>2007</v>
      </c>
      <c r="N18" s="995">
        <f>$V18</f>
        <v>80.399199999999993</v>
      </c>
      <c r="O18" s="995"/>
      <c r="P18" s="993"/>
      <c r="Q18" s="993" t="s">
        <v>580</v>
      </c>
      <c r="R18" s="993"/>
      <c r="S18" s="993"/>
      <c r="T18" s="995"/>
      <c r="U18" s="995"/>
      <c r="V18" s="995">
        <v>80.399199999999993</v>
      </c>
      <c r="W18" s="996"/>
      <c r="X18" s="996">
        <f>$AA18</f>
        <v>84.909599999999998</v>
      </c>
      <c r="Y18" s="993" t="s">
        <v>580</v>
      </c>
      <c r="Z18" s="995"/>
      <c r="AA18" s="995">
        <v>84.909599999999998</v>
      </c>
      <c r="AB18" s="993"/>
      <c r="AC18" s="993"/>
      <c r="AD18" s="993"/>
      <c r="AE18" s="997">
        <f t="shared" si="6"/>
        <v>1.9098665769403773E-3</v>
      </c>
      <c r="AF18" s="1050">
        <v>229.126</v>
      </c>
      <c r="AG18" s="1050">
        <v>487.91637500000002</v>
      </c>
      <c r="AH18" s="998">
        <v>2030</v>
      </c>
      <c r="AI18" s="993"/>
      <c r="AJ18" s="999">
        <f t="shared" si="0"/>
        <v>1.4114451078188355</v>
      </c>
      <c r="AK18" s="999">
        <f t="shared" si="1"/>
        <v>1.1089925847147997</v>
      </c>
      <c r="AL18" s="999">
        <f t="shared" si="2"/>
        <v>1.2206633271332297</v>
      </c>
      <c r="AM18" s="999"/>
      <c r="AN18" s="995">
        <f>IF($N18="","",$N18/$AF18*(1+$J18)*$AG18)</f>
        <v>119.84523952685419</v>
      </c>
      <c r="AO18" s="1000">
        <f>IF($N18="","",$N18/$AF18*(1+$K18)*$AG18)</f>
        <v>94.164116771099742</v>
      </c>
      <c r="AP18" s="995">
        <v>103.64603484155168</v>
      </c>
      <c r="AQ18" s="1017"/>
      <c r="AR18" s="1017"/>
      <c r="AS18" s="1017"/>
      <c r="AT18" s="1017"/>
      <c r="AU18" s="1017"/>
      <c r="AV18" s="1017"/>
      <c r="AW18" s="1017"/>
      <c r="AX18" s="1017"/>
      <c r="AY18" s="993" t="s">
        <v>2550</v>
      </c>
      <c r="AZ18" s="993"/>
    </row>
    <row r="19" spans="1:55" x14ac:dyDescent="0.25">
      <c r="A19" s="1002" t="s">
        <v>286</v>
      </c>
      <c r="B19" s="1003" t="s">
        <v>253</v>
      </c>
      <c r="C19" s="1018" t="s">
        <v>285</v>
      </c>
      <c r="D19" s="1003" t="s">
        <v>582</v>
      </c>
      <c r="E19" s="1014"/>
      <c r="F19" s="1014"/>
      <c r="G19" s="1003" t="s">
        <v>583</v>
      </c>
      <c r="H19" s="1003" t="s">
        <v>610</v>
      </c>
      <c r="I19" s="1003" t="s">
        <v>590</v>
      </c>
      <c r="J19" s="1003" t="s">
        <v>610</v>
      </c>
      <c r="K19" s="1003" t="s">
        <v>590</v>
      </c>
      <c r="L19" s="1003" t="s">
        <v>579</v>
      </c>
      <c r="M19" s="1003">
        <v>2030</v>
      </c>
      <c r="N19" s="1014">
        <f>$R19</f>
        <v>335</v>
      </c>
      <c r="O19" s="1014"/>
      <c r="P19" s="1003"/>
      <c r="Q19" s="1003" t="s">
        <v>2513</v>
      </c>
      <c r="R19" s="1003">
        <v>335</v>
      </c>
      <c r="S19" s="1003"/>
      <c r="T19" s="1014"/>
      <c r="U19" s="1014"/>
      <c r="V19" s="1014" t="s">
        <v>2401</v>
      </c>
      <c r="W19" s="1009"/>
      <c r="X19" s="1009">
        <f>$AB19</f>
        <v>224</v>
      </c>
      <c r="Y19" s="1003" t="s">
        <v>2513</v>
      </c>
      <c r="Z19" s="1014"/>
      <c r="AA19" s="1014">
        <v>199.0214</v>
      </c>
      <c r="AB19" s="1003">
        <v>224</v>
      </c>
      <c r="AC19" s="1012"/>
      <c r="AD19" s="1012"/>
      <c r="AE19" s="1012">
        <f t="shared" si="6"/>
        <v>4.4765764996641325E-3</v>
      </c>
      <c r="AF19" s="1012"/>
      <c r="AG19" s="1012"/>
      <c r="AH19" s="1005">
        <v>2030</v>
      </c>
      <c r="AI19" s="1014">
        <f>$N19</f>
        <v>335</v>
      </c>
      <c r="AJ19" s="1013">
        <f t="shared" si="0"/>
        <v>1.1964285714285714</v>
      </c>
      <c r="AK19" s="1013">
        <f t="shared" si="1"/>
        <v>1.0468749999999998</v>
      </c>
      <c r="AL19" s="1013" t="str">
        <f t="shared" si="2"/>
        <v/>
      </c>
      <c r="AM19" s="1013"/>
      <c r="AN19" s="1014">
        <f t="shared" ref="AN19:AN33" si="7">IF($N19="","",$N19*(1+$J19))</f>
        <v>268</v>
      </c>
      <c r="AO19" s="1010">
        <f t="shared" ref="AO19:AO33" si="8">IF($N19="","",$N19*(1+$K19))</f>
        <v>234.49999999999997</v>
      </c>
      <c r="AP19" s="1014"/>
      <c r="AQ19" s="1019"/>
      <c r="AR19" s="1019"/>
      <c r="AS19" s="1019"/>
      <c r="AT19" s="1019"/>
      <c r="AU19" s="1019"/>
      <c r="AV19" s="1019"/>
      <c r="AW19" s="1019"/>
      <c r="AX19" s="1019"/>
      <c r="AY19" s="1003"/>
      <c r="AZ19" s="1003"/>
    </row>
    <row r="20" spans="1:55" x14ac:dyDescent="0.25">
      <c r="A20" s="992" t="s">
        <v>284</v>
      </c>
      <c r="B20" s="993" t="s">
        <v>253</v>
      </c>
      <c r="C20" s="994" t="s">
        <v>283</v>
      </c>
      <c r="D20" s="993"/>
      <c r="E20" s="995"/>
      <c r="F20" s="995"/>
      <c r="G20" s="993"/>
      <c r="H20" s="993" t="s">
        <v>611</v>
      </c>
      <c r="I20" s="993"/>
      <c r="J20" s="993" t="s">
        <v>611</v>
      </c>
      <c r="K20" s="993" t="s">
        <v>611</v>
      </c>
      <c r="L20" s="993" t="s">
        <v>612</v>
      </c>
      <c r="M20" s="993">
        <v>2012</v>
      </c>
      <c r="N20" s="995">
        <f>$V20</f>
        <v>4.9726999999999997</v>
      </c>
      <c r="O20" s="995"/>
      <c r="P20" s="993"/>
      <c r="Q20" s="993" t="s">
        <v>580</v>
      </c>
      <c r="R20" s="993"/>
      <c r="S20" s="993"/>
      <c r="T20" s="995"/>
      <c r="U20" s="995"/>
      <c r="V20" s="995">
        <v>4.9726999999999997</v>
      </c>
      <c r="W20" s="996"/>
      <c r="X20" s="996">
        <f>$AA20</f>
        <v>5.1584000000000003</v>
      </c>
      <c r="Y20" s="993" t="s">
        <v>580</v>
      </c>
      <c r="Z20" s="995"/>
      <c r="AA20" s="995">
        <v>5.1584000000000003</v>
      </c>
      <c r="AB20" s="993"/>
      <c r="AC20" s="997"/>
      <c r="AD20" s="997"/>
      <c r="AE20" s="997" t="str">
        <f t="shared" si="6"/>
        <v>&lt;0.1%</v>
      </c>
      <c r="AF20" s="997"/>
      <c r="AG20" s="997"/>
      <c r="AH20" s="998">
        <v>2030</v>
      </c>
      <c r="AI20" s="993"/>
      <c r="AJ20" s="999">
        <f t="shared" si="0"/>
        <v>0.72300034894540932</v>
      </c>
      <c r="AK20" s="999">
        <f t="shared" si="1"/>
        <v>0.72300034894540932</v>
      </c>
      <c r="AL20" s="999" t="str">
        <f t="shared" si="2"/>
        <v/>
      </c>
      <c r="AM20" s="999"/>
      <c r="AN20" s="995">
        <f t="shared" si="7"/>
        <v>3.7295249999999998</v>
      </c>
      <c r="AO20" s="1000">
        <f t="shared" si="8"/>
        <v>3.7295249999999998</v>
      </c>
      <c r="AP20" s="995"/>
      <c r="AQ20" s="1017"/>
      <c r="AR20" s="1017"/>
      <c r="AS20" s="1017"/>
      <c r="AT20" s="1017"/>
      <c r="AU20" s="1017"/>
      <c r="AV20" s="1017"/>
      <c r="AW20" s="1017"/>
      <c r="AX20" s="1017"/>
      <c r="AY20" s="993"/>
      <c r="AZ20" s="993"/>
    </row>
    <row r="21" spans="1:55" x14ac:dyDescent="0.25">
      <c r="A21" s="1002" t="s">
        <v>280</v>
      </c>
      <c r="B21" s="1003" t="s">
        <v>253</v>
      </c>
      <c r="C21" s="1018" t="s">
        <v>279</v>
      </c>
      <c r="D21" s="1003"/>
      <c r="E21" s="1014"/>
      <c r="F21" s="1014"/>
      <c r="G21" s="1003"/>
      <c r="H21" s="1003"/>
      <c r="I21" s="1003" t="s">
        <v>611</v>
      </c>
      <c r="J21" s="1003"/>
      <c r="K21" s="1003" t="s">
        <v>611</v>
      </c>
      <c r="L21" s="1003" t="s">
        <v>613</v>
      </c>
      <c r="M21" s="1003">
        <v>2010</v>
      </c>
      <c r="N21" s="1014">
        <f>$V21</f>
        <v>31.684999999999999</v>
      </c>
      <c r="O21" s="1014"/>
      <c r="P21" s="1003"/>
      <c r="Q21" s="1003" t="s">
        <v>580</v>
      </c>
      <c r="R21" s="1003"/>
      <c r="S21" s="1003"/>
      <c r="T21" s="1014"/>
      <c r="U21" s="1014"/>
      <c r="V21" s="1014">
        <v>31.684999999999999</v>
      </c>
      <c r="W21" s="1009"/>
      <c r="X21" s="1009">
        <f>$AA21</f>
        <v>31.684999999999999</v>
      </c>
      <c r="Y21" s="1003" t="s">
        <v>580</v>
      </c>
      <c r="Z21" s="1014"/>
      <c r="AA21" s="1014">
        <v>31.684999999999999</v>
      </c>
      <c r="AB21" s="1003"/>
      <c r="AC21" s="1012"/>
      <c r="AD21" s="1012"/>
      <c r="AE21" s="1012" t="str">
        <f t="shared" si="6"/>
        <v>&lt;0.1%</v>
      </c>
      <c r="AF21" s="1012"/>
      <c r="AG21" s="1012"/>
      <c r="AH21" s="1005">
        <v>2030</v>
      </c>
      <c r="AI21" s="1003"/>
      <c r="AJ21" s="1013">
        <f t="shared" si="0"/>
        <v>1</v>
      </c>
      <c r="AK21" s="1013">
        <f t="shared" si="1"/>
        <v>0.75</v>
      </c>
      <c r="AL21" s="1013" t="str">
        <f t="shared" si="2"/>
        <v/>
      </c>
      <c r="AM21" s="1013"/>
      <c r="AN21" s="1014">
        <f t="shared" si="7"/>
        <v>31.684999999999999</v>
      </c>
      <c r="AO21" s="1010">
        <f t="shared" si="8"/>
        <v>23.763749999999998</v>
      </c>
      <c r="AP21" s="1014"/>
      <c r="AQ21" s="1019"/>
      <c r="AR21" s="1019"/>
      <c r="AS21" s="1019"/>
      <c r="AT21" s="1019"/>
      <c r="AU21" s="1019"/>
      <c r="AV21" s="1019"/>
      <c r="AW21" s="1019"/>
      <c r="AX21" s="1019"/>
      <c r="AY21" s="1003"/>
      <c r="AZ21" s="1003"/>
    </row>
    <row r="22" spans="1:55" x14ac:dyDescent="0.25">
      <c r="A22" s="992" t="s">
        <v>278</v>
      </c>
      <c r="B22" s="993" t="s">
        <v>253</v>
      </c>
      <c r="C22" s="994" t="s">
        <v>276</v>
      </c>
      <c r="D22" s="993"/>
      <c r="E22" s="995"/>
      <c r="F22" s="995"/>
      <c r="G22" s="993" t="s">
        <v>347</v>
      </c>
      <c r="H22" s="993"/>
      <c r="I22" s="993"/>
      <c r="J22" s="1051" t="s">
        <v>614</v>
      </c>
      <c r="K22" s="993" t="s">
        <v>615</v>
      </c>
      <c r="L22" s="993" t="s">
        <v>616</v>
      </c>
      <c r="M22" s="993">
        <v>2025</v>
      </c>
      <c r="N22" s="995"/>
      <c r="O22" s="995"/>
      <c r="P22" s="993"/>
      <c r="Q22" s="993"/>
      <c r="R22" s="993"/>
      <c r="S22" s="993"/>
      <c r="T22" s="995"/>
      <c r="U22" s="995"/>
      <c r="V22" s="995" t="s">
        <v>2401</v>
      </c>
      <c r="W22" s="996"/>
      <c r="X22" s="996">
        <f>$AA22</f>
        <v>136.80240000000001</v>
      </c>
      <c r="Y22" s="993" t="s">
        <v>580</v>
      </c>
      <c r="Z22" s="995"/>
      <c r="AA22" s="995">
        <v>136.80240000000001</v>
      </c>
      <c r="AB22" s="993"/>
      <c r="AC22" s="997"/>
      <c r="AD22" s="997"/>
      <c r="AE22" s="997">
        <f t="shared" si="6"/>
        <v>3.0770882374340273E-3</v>
      </c>
      <c r="AF22" s="997"/>
      <c r="AG22" s="997"/>
      <c r="AH22" s="998">
        <v>2025</v>
      </c>
      <c r="AI22" s="993"/>
      <c r="AJ22" s="999" t="str">
        <f t="shared" si="0"/>
        <v/>
      </c>
      <c r="AK22" s="1052"/>
      <c r="AL22" s="999" t="str">
        <f t="shared" si="2"/>
        <v/>
      </c>
      <c r="AM22" s="999"/>
      <c r="AN22" s="995" t="str">
        <f t="shared" si="7"/>
        <v/>
      </c>
      <c r="AO22" s="1000" t="str">
        <f t="shared" si="8"/>
        <v/>
      </c>
      <c r="AP22" s="995"/>
      <c r="AQ22" s="1017"/>
      <c r="AR22" s="1017"/>
      <c r="AS22" s="1017"/>
      <c r="AT22" s="1017"/>
      <c r="AU22" s="1017"/>
      <c r="AV22" s="1017"/>
      <c r="AW22" s="1017"/>
      <c r="AX22" s="1017"/>
      <c r="AY22" s="998" t="s">
        <v>2551</v>
      </c>
      <c r="AZ22" s="1020"/>
    </row>
    <row r="23" spans="1:55" ht="15" customHeight="1" x14ac:dyDescent="0.25">
      <c r="A23" s="1002" t="s">
        <v>274</v>
      </c>
      <c r="B23" s="1003" t="s">
        <v>253</v>
      </c>
      <c r="C23" s="1018" t="s">
        <v>273</v>
      </c>
      <c r="D23" s="1003"/>
      <c r="E23" s="1014"/>
      <c r="F23" s="1014"/>
      <c r="G23" s="1003"/>
      <c r="H23" s="1003" t="s">
        <v>590</v>
      </c>
      <c r="I23" s="1003"/>
      <c r="J23" s="1003" t="s">
        <v>590</v>
      </c>
      <c r="K23" s="1003" t="s">
        <v>590</v>
      </c>
      <c r="L23" s="1003" t="s">
        <v>617</v>
      </c>
      <c r="M23" s="1003">
        <v>2010</v>
      </c>
      <c r="N23" s="1014">
        <f>$V23</f>
        <v>1.7545999999999999</v>
      </c>
      <c r="O23" s="1014"/>
      <c r="P23" s="1003"/>
      <c r="Q23" s="1003" t="s">
        <v>580</v>
      </c>
      <c r="R23" s="1003"/>
      <c r="S23" s="1003"/>
      <c r="T23" s="1014"/>
      <c r="U23" s="1014"/>
      <c r="V23" s="1014">
        <v>1.7545999999999999</v>
      </c>
      <c r="W23" s="1009"/>
      <c r="X23" s="1009">
        <f>$AA23</f>
        <v>1.7545999999999999</v>
      </c>
      <c r="Y23" s="1003" t="s">
        <v>580</v>
      </c>
      <c r="Z23" s="1014"/>
      <c r="AA23" s="1014">
        <v>1.7545999999999999</v>
      </c>
      <c r="AB23" s="1003"/>
      <c r="AC23" s="1012"/>
      <c r="AD23" s="1012"/>
      <c r="AE23" s="1012" t="str">
        <f t="shared" si="6"/>
        <v>&lt;0.1%</v>
      </c>
      <c r="AF23" s="1012"/>
      <c r="AG23" s="1012"/>
      <c r="AH23" s="1005">
        <v>2025</v>
      </c>
      <c r="AI23" s="1003"/>
      <c r="AJ23" s="1013">
        <f t="shared" si="0"/>
        <v>0.7</v>
      </c>
      <c r="AK23" s="1047">
        <f t="shared" ref="AK23:AK39" si="9">IF($AO23="","",$AO23/$X23)</f>
        <v>0.7</v>
      </c>
      <c r="AL23" s="1013" t="str">
        <f t="shared" si="2"/>
        <v/>
      </c>
      <c r="AM23" s="1013"/>
      <c r="AN23" s="1014">
        <f t="shared" si="7"/>
        <v>1.2282199999999999</v>
      </c>
      <c r="AO23" s="1010">
        <f t="shared" si="8"/>
        <v>1.2282199999999999</v>
      </c>
      <c r="AP23" s="1014"/>
      <c r="AQ23" s="1019"/>
      <c r="AR23" s="1019"/>
      <c r="AS23" s="1019"/>
      <c r="AT23" s="1019"/>
      <c r="AU23" s="1019"/>
      <c r="AV23" s="1019"/>
      <c r="AW23" s="1019"/>
      <c r="AX23" s="1019"/>
      <c r="AY23" s="1003"/>
      <c r="AZ23" s="1003"/>
    </row>
    <row r="24" spans="1:55" x14ac:dyDescent="0.25">
      <c r="A24" s="992" t="s">
        <v>262</v>
      </c>
      <c r="B24" s="993" t="s">
        <v>253</v>
      </c>
      <c r="C24" s="994" t="s">
        <v>261</v>
      </c>
      <c r="D24" s="993" t="s">
        <v>618</v>
      </c>
      <c r="E24" s="995"/>
      <c r="F24" s="995"/>
      <c r="G24" s="993" t="s">
        <v>583</v>
      </c>
      <c r="H24" s="993" t="s">
        <v>610</v>
      </c>
      <c r="I24" s="993" t="s">
        <v>590</v>
      </c>
      <c r="J24" s="993" t="s">
        <v>610</v>
      </c>
      <c r="K24" s="993" t="s">
        <v>590</v>
      </c>
      <c r="L24" s="993" t="s">
        <v>579</v>
      </c>
      <c r="M24" s="993">
        <v>2030</v>
      </c>
      <c r="N24" s="995">
        <f>$R24</f>
        <v>298.3</v>
      </c>
      <c r="O24" s="995"/>
      <c r="P24" s="993"/>
      <c r="Q24" s="993" t="s">
        <v>2513</v>
      </c>
      <c r="R24" s="993">
        <v>298.3</v>
      </c>
      <c r="S24" s="993"/>
      <c r="T24" s="995"/>
      <c r="U24" s="995"/>
      <c r="V24" s="995" t="s">
        <v>2401</v>
      </c>
      <c r="W24" s="996"/>
      <c r="X24" s="996">
        <f>$AB24</f>
        <v>170.6</v>
      </c>
      <c r="Y24" s="993" t="s">
        <v>2513</v>
      </c>
      <c r="Z24" s="995"/>
      <c r="AA24" s="995">
        <v>155.76689999999999</v>
      </c>
      <c r="AB24" s="993">
        <v>170.6</v>
      </c>
      <c r="AC24" s="997"/>
      <c r="AD24" s="997"/>
      <c r="AE24" s="997">
        <f t="shared" si="6"/>
        <v>3.5036556067113032E-3</v>
      </c>
      <c r="AF24" s="997"/>
      <c r="AG24" s="997"/>
      <c r="AH24" s="998">
        <v>2030</v>
      </c>
      <c r="AI24" s="993"/>
      <c r="AJ24" s="999">
        <f t="shared" si="0"/>
        <v>1.3988276670574444</v>
      </c>
      <c r="AK24" s="999">
        <f t="shared" si="9"/>
        <v>1.2239742086752639</v>
      </c>
      <c r="AL24" s="999" t="str">
        <f t="shared" si="2"/>
        <v/>
      </c>
      <c r="AM24" s="999"/>
      <c r="AN24" s="995">
        <f t="shared" si="7"/>
        <v>238.64000000000001</v>
      </c>
      <c r="AO24" s="1000">
        <f t="shared" si="8"/>
        <v>208.81</v>
      </c>
      <c r="AP24" s="995"/>
      <c r="AQ24" s="1017"/>
      <c r="AR24" s="1017"/>
      <c r="AS24" s="1017"/>
      <c r="AT24" s="1017"/>
      <c r="AU24" s="1017"/>
      <c r="AV24" s="1017"/>
      <c r="AW24" s="1017"/>
      <c r="AX24" s="1017"/>
      <c r="AY24" s="993" t="s">
        <v>619</v>
      </c>
      <c r="AZ24" s="1020"/>
    </row>
    <row r="25" spans="1:55" x14ac:dyDescent="0.25">
      <c r="A25" s="1002" t="s">
        <v>254</v>
      </c>
      <c r="B25" s="1003" t="s">
        <v>253</v>
      </c>
      <c r="C25" s="1018" t="s">
        <v>1739</v>
      </c>
      <c r="D25" s="1003"/>
      <c r="E25" s="1014"/>
      <c r="F25" s="1014"/>
      <c r="G25" s="1003"/>
      <c r="H25" s="1053">
        <v>-0.2</v>
      </c>
      <c r="I25" s="1003"/>
      <c r="J25" s="1054">
        <v>-0.2</v>
      </c>
      <c r="K25" s="1054">
        <v>-0.2</v>
      </c>
      <c r="L25" s="1003" t="s">
        <v>579</v>
      </c>
      <c r="M25" s="1003">
        <v>2030</v>
      </c>
      <c r="N25" s="1003">
        <f>$R25</f>
        <v>340</v>
      </c>
      <c r="O25" s="1055"/>
      <c r="P25" s="1003"/>
      <c r="Q25" s="1003" t="s">
        <v>2513</v>
      </c>
      <c r="R25" s="1003">
        <v>340</v>
      </c>
      <c r="S25" s="1003"/>
      <c r="T25" s="1003"/>
      <c r="U25" s="1003"/>
      <c r="V25" s="1003"/>
      <c r="W25" s="1009"/>
      <c r="X25" s="1009">
        <f>$AB25</f>
        <v>200</v>
      </c>
      <c r="Y25" s="1003" t="s">
        <v>2513</v>
      </c>
      <c r="Z25" s="1003"/>
      <c r="AA25" s="1014">
        <v>391.56310000000002</v>
      </c>
      <c r="AB25" s="1003">
        <v>200</v>
      </c>
      <c r="AC25" s="1003"/>
      <c r="AD25" s="1003"/>
      <c r="AE25" s="1012">
        <f t="shared" si="6"/>
        <v>8.8074054930557047E-3</v>
      </c>
      <c r="AF25" s="1003"/>
      <c r="AG25" s="1003"/>
      <c r="AH25" s="1005">
        <v>2030</v>
      </c>
      <c r="AI25" s="1003">
        <f>$N25</f>
        <v>340</v>
      </c>
      <c r="AJ25" s="1013">
        <f t="shared" si="0"/>
        <v>1.36</v>
      </c>
      <c r="AK25" s="1013">
        <f t="shared" si="9"/>
        <v>1.36</v>
      </c>
      <c r="AL25" s="1013" t="str">
        <f t="shared" si="2"/>
        <v/>
      </c>
      <c r="AM25" s="1013"/>
      <c r="AN25" s="1014">
        <f t="shared" si="7"/>
        <v>272</v>
      </c>
      <c r="AO25" s="1010">
        <f t="shared" si="8"/>
        <v>272</v>
      </c>
      <c r="AP25" s="1014"/>
      <c r="AQ25" s="1019"/>
      <c r="AR25" s="1019"/>
      <c r="AS25" s="1019"/>
      <c r="AT25" s="1019"/>
      <c r="AU25" s="1019"/>
      <c r="AV25" s="1019"/>
      <c r="AW25" s="1019"/>
      <c r="AX25" s="1019"/>
      <c r="AY25" s="1003"/>
      <c r="AZ25" s="1056"/>
    </row>
    <row r="26" spans="1:55" s="19" customFormat="1" x14ac:dyDescent="0.25">
      <c r="A26" s="1021"/>
      <c r="B26" s="982" t="s">
        <v>235</v>
      </c>
      <c r="C26" s="983"/>
      <c r="D26" s="1022"/>
      <c r="E26" s="985"/>
      <c r="F26" s="985"/>
      <c r="G26" s="1022"/>
      <c r="H26" s="1022"/>
      <c r="I26" s="1022"/>
      <c r="J26" s="1022"/>
      <c r="K26" s="1022"/>
      <c r="L26" s="1022"/>
      <c r="M26" s="1022"/>
      <c r="N26" s="985"/>
      <c r="O26" s="985"/>
      <c r="P26" s="1022"/>
      <c r="Q26" s="1022"/>
      <c r="R26" s="1022"/>
      <c r="S26" s="1022"/>
      <c r="T26" s="985"/>
      <c r="U26" s="985"/>
      <c r="V26" s="985" t="s">
        <v>2401</v>
      </c>
      <c r="W26" s="1023"/>
      <c r="X26" s="1023"/>
      <c r="Y26" s="1022"/>
      <c r="Z26" s="985"/>
      <c r="AA26" s="985" t="s">
        <v>2401</v>
      </c>
      <c r="AB26" s="1022"/>
      <c r="AC26" s="1024"/>
      <c r="AD26" s="1024"/>
      <c r="AE26" s="1024"/>
      <c r="AF26" s="1024"/>
      <c r="AG26" s="1024"/>
      <c r="AH26" s="1025"/>
      <c r="AI26" s="1022"/>
      <c r="AJ26" s="1026" t="str">
        <f t="shared" si="0"/>
        <v/>
      </c>
      <c r="AK26" s="984" t="str">
        <f t="shared" si="9"/>
        <v/>
      </c>
      <c r="AL26" s="988" t="str">
        <f t="shared" si="2"/>
        <v/>
      </c>
      <c r="AM26" s="988"/>
      <c r="AN26" s="985" t="str">
        <f t="shared" si="7"/>
        <v/>
      </c>
      <c r="AO26" s="985" t="str">
        <f t="shared" si="8"/>
        <v/>
      </c>
      <c r="AP26" s="985"/>
      <c r="AQ26" s="1027"/>
      <c r="AR26" s="1027"/>
      <c r="AS26" s="1027"/>
      <c r="AT26" s="1027"/>
      <c r="AU26" s="1027"/>
      <c r="AV26" s="1027"/>
      <c r="AW26" s="1040"/>
      <c r="AX26" s="1040"/>
      <c r="AY26" s="1022"/>
      <c r="AZ26" s="1029"/>
    </row>
    <row r="27" spans="1:55" x14ac:dyDescent="0.25">
      <c r="A27" s="1002" t="s">
        <v>252</v>
      </c>
      <c r="B27" s="1003" t="s">
        <v>235</v>
      </c>
      <c r="C27" s="1004" t="s">
        <v>7</v>
      </c>
      <c r="D27" s="1003" t="s">
        <v>582</v>
      </c>
      <c r="E27" s="1003" t="s">
        <v>687</v>
      </c>
      <c r="F27" s="1010" t="s">
        <v>1648</v>
      </c>
      <c r="G27" s="1003" t="s">
        <v>583</v>
      </c>
      <c r="H27" s="1003" t="s">
        <v>601</v>
      </c>
      <c r="I27" s="1003" t="s">
        <v>602</v>
      </c>
      <c r="J27" s="1003" t="s">
        <v>601</v>
      </c>
      <c r="K27" s="1003" t="s">
        <v>602</v>
      </c>
      <c r="L27" s="1003" t="s">
        <v>597</v>
      </c>
      <c r="M27" s="1003">
        <v>2005</v>
      </c>
      <c r="N27" s="1044">
        <f>$T27</f>
        <v>548.42516000000001</v>
      </c>
      <c r="O27" s="1044">
        <f>$U27</f>
        <v>523.47925999999995</v>
      </c>
      <c r="P27" s="1008" t="s">
        <v>686</v>
      </c>
      <c r="Q27" s="1008" t="s">
        <v>587</v>
      </c>
      <c r="R27" s="1008"/>
      <c r="S27" s="1008"/>
      <c r="T27" s="1010">
        <v>548.42516000000001</v>
      </c>
      <c r="U27" s="1010">
        <v>523.47925999999995</v>
      </c>
      <c r="V27" s="1010">
        <v>607.64149999999995</v>
      </c>
      <c r="W27" s="1011">
        <f>'History GHG emissions G20'!C28*10^-3</f>
        <v>597.78864280000005</v>
      </c>
      <c r="X27" s="1011">
        <f>'History GHG emissions G20'!E28*10^-3</f>
        <v>570.64391009999997</v>
      </c>
      <c r="Y27" s="1008" t="s">
        <v>2088</v>
      </c>
      <c r="Z27" s="1014"/>
      <c r="AA27" s="1014">
        <v>592.62530000000004</v>
      </c>
      <c r="AB27" s="1003"/>
      <c r="AC27" s="1011">
        <f>'History GHG emissions G20'!J28*10^-3</f>
        <v>43.688642800000004</v>
      </c>
      <c r="AD27" s="1011">
        <f>'History GHG emissions G20'!N28*10^-3</f>
        <v>-0.45608989999999999</v>
      </c>
      <c r="AE27" s="1012">
        <f>IF(AA27="","&lt;0.1%",IF(AA27/$AA$81&lt;0.001,"&lt;0.1%",AA27/$AA$81))</f>
        <v>1.3329885585602386E-2</v>
      </c>
      <c r="AF27" s="1012"/>
      <c r="AG27" s="1012"/>
      <c r="AH27" s="1005">
        <v>2030</v>
      </c>
      <c r="AI27" s="1003"/>
      <c r="AJ27" s="1013">
        <f t="shared" si="0"/>
        <v>0.71118715405002975</v>
      </c>
      <c r="AK27" s="1013">
        <f t="shared" si="9"/>
        <v>0.69196587961624512</v>
      </c>
      <c r="AL27" s="1013" t="str">
        <f t="shared" si="2"/>
        <v/>
      </c>
      <c r="AM27" s="1013"/>
      <c r="AN27" s="1014">
        <f t="shared" si="7"/>
        <v>405.83461840000001</v>
      </c>
      <c r="AO27" s="1010">
        <f t="shared" si="8"/>
        <v>394.86611519999997</v>
      </c>
      <c r="AP27" s="1014"/>
      <c r="AQ27" s="1015">
        <v>33.550551168888873</v>
      </c>
      <c r="AR27" s="1015"/>
      <c r="AS27" s="1016">
        <f>$AW27/$W27</f>
        <v>0.66971892427528734</v>
      </c>
      <c r="AT27" s="1083">
        <f>$AX27/($W27-$AC27)</f>
        <v>0.66197404012111738</v>
      </c>
      <c r="AU27" s="1016">
        <f>$AW27/$X27</f>
        <v>0.70157651683313749</v>
      </c>
      <c r="AV27" s="1083">
        <f>$AX27/($X27-$AD27)</f>
        <v>0.64226898201910543</v>
      </c>
      <c r="AW27" s="1011">
        <f>$N27*(1+0.5*$J27+0.5*$K27)</f>
        <v>400.35036680000002</v>
      </c>
      <c r="AX27" s="1011">
        <f>$AW27-$AQ27</f>
        <v>366.79981563111113</v>
      </c>
      <c r="AY27" s="1003"/>
      <c r="AZ27" s="1003"/>
      <c r="BA27" s="534" t="s">
        <v>1671</v>
      </c>
    </row>
    <row r="28" spans="1:55" x14ac:dyDescent="0.25">
      <c r="A28" s="992" t="s">
        <v>251</v>
      </c>
      <c r="B28" s="993" t="s">
        <v>235</v>
      </c>
      <c r="C28" s="1004" t="s">
        <v>14</v>
      </c>
      <c r="D28" s="993" t="s">
        <v>582</v>
      </c>
      <c r="E28" s="993" t="s">
        <v>687</v>
      </c>
      <c r="F28" s="1000" t="s">
        <v>1641</v>
      </c>
      <c r="G28" s="993" t="s">
        <v>620</v>
      </c>
      <c r="H28" s="993" t="s">
        <v>621</v>
      </c>
      <c r="I28" s="993"/>
      <c r="J28" s="993" t="s">
        <v>601</v>
      </c>
      <c r="K28" s="993" t="s">
        <v>601</v>
      </c>
      <c r="L28" s="993" t="s">
        <v>622</v>
      </c>
      <c r="M28" s="993">
        <v>2013</v>
      </c>
      <c r="N28" s="1000"/>
      <c r="O28" s="1034">
        <f>$S28</f>
        <v>1408</v>
      </c>
      <c r="P28" s="1030" t="str">
        <f>'NDC information'!$A$2</f>
        <v>AR4</v>
      </c>
      <c r="Q28" s="1030" t="s">
        <v>2513</v>
      </c>
      <c r="R28" s="1030"/>
      <c r="S28" s="1000">
        <f>'NDC information'!$D$11</f>
        <v>1408</v>
      </c>
      <c r="T28" s="1000">
        <v>1343.1</v>
      </c>
      <c r="U28" s="1000"/>
      <c r="V28" s="1000" t="s">
        <v>2401</v>
      </c>
      <c r="W28" s="1034">
        <f>'History GHG emissions G20'!C29*10^-3</f>
        <v>1328.8509277999999</v>
      </c>
      <c r="X28" s="1034">
        <f>'History GHG emissions G20'!E29*10^-3</f>
        <v>1125.4231776000001</v>
      </c>
      <c r="Y28" s="1030" t="s">
        <v>2088</v>
      </c>
      <c r="Z28" s="1000">
        <v>1234.9000000000001</v>
      </c>
      <c r="AA28" s="1000">
        <v>1114.2502999999999</v>
      </c>
      <c r="AB28" s="1030"/>
      <c r="AC28" s="1034">
        <f>'History GHG emissions G20'!J29*10^-3</f>
        <v>-39.119072200000005</v>
      </c>
      <c r="AD28" s="1034">
        <f>'History GHG emissions G20'!N29*10^-3</f>
        <v>-142.5468224</v>
      </c>
      <c r="AE28" s="997">
        <f>IF(AA28="","&lt;0.1%",IF(AA28/$AA$81&lt;0.001,"&lt;0.1%",AA28/$AA$81))</f>
        <v>2.5062765650948639E-2</v>
      </c>
      <c r="AF28" s="997"/>
      <c r="AG28" s="997"/>
      <c r="AH28" s="998">
        <v>2030</v>
      </c>
      <c r="AI28" s="993"/>
      <c r="AJ28" s="999" t="str">
        <f t="shared" si="0"/>
        <v/>
      </c>
      <c r="AK28" s="999" t="str">
        <f t="shared" si="9"/>
        <v/>
      </c>
      <c r="AL28" s="999" t="str">
        <f t="shared" si="2"/>
        <v/>
      </c>
      <c r="AM28" s="999"/>
      <c r="AN28" s="995" t="str">
        <f t="shared" si="7"/>
        <v/>
      </c>
      <c r="AO28" s="995" t="str">
        <f t="shared" si="8"/>
        <v/>
      </c>
      <c r="AP28" s="995"/>
      <c r="AQ28" s="1035">
        <v>-76</v>
      </c>
      <c r="AR28" s="1035">
        <v>-37</v>
      </c>
      <c r="AS28" s="1037">
        <f>$AW28/$W28</f>
        <v>0.75472724518498102</v>
      </c>
      <c r="AT28" s="1084">
        <f>$AX28/($W28-$AC28)</f>
        <v>0.78870150661198724</v>
      </c>
      <c r="AU28" s="1037">
        <f>$AW28/$X28</f>
        <v>0.89114923165058502</v>
      </c>
      <c r="AV28" s="1084">
        <f>$AX28/($X28-$AD28)</f>
        <v>0.85090341254130608</v>
      </c>
      <c r="AW28" s="1034">
        <f>$AX28+$AQ28</f>
        <v>1002.9200000000001</v>
      </c>
      <c r="AX28" s="1034">
        <f>$O28*(1+$K28)-$AR28</f>
        <v>1078.92</v>
      </c>
      <c r="AY28" s="1030" t="s">
        <v>1378</v>
      </c>
      <c r="AZ28" s="993"/>
      <c r="BA28" s="534" t="s">
        <v>1671</v>
      </c>
      <c r="BC28" s="534" t="s">
        <v>2562</v>
      </c>
    </row>
    <row r="29" spans="1:55" x14ac:dyDescent="0.25">
      <c r="A29" s="1002" t="s">
        <v>248</v>
      </c>
      <c r="B29" s="1003" t="s">
        <v>235</v>
      </c>
      <c r="C29" s="1004" t="s">
        <v>247</v>
      </c>
      <c r="D29" s="1003" t="s">
        <v>582</v>
      </c>
      <c r="E29" s="1003" t="s">
        <v>688</v>
      </c>
      <c r="F29" s="1014"/>
      <c r="G29" s="1003" t="s">
        <v>596</v>
      </c>
      <c r="H29" s="1003" t="s">
        <v>606</v>
      </c>
      <c r="I29" s="1003"/>
      <c r="J29" s="1003" t="s">
        <v>606</v>
      </c>
      <c r="K29" s="1003" t="s">
        <v>606</v>
      </c>
      <c r="L29" s="1003" t="s">
        <v>579</v>
      </c>
      <c r="M29" s="1003">
        <v>2030</v>
      </c>
      <c r="N29" s="1008"/>
      <c r="O29" s="1044">
        <f>$S29</f>
        <v>850.6</v>
      </c>
      <c r="P29" s="1008" t="str">
        <f>'NDC information'!$A$74</f>
        <v>SAR</v>
      </c>
      <c r="Q29" s="1008" t="s">
        <v>2513</v>
      </c>
      <c r="R29" s="1008"/>
      <c r="S29" s="1008">
        <f>'NDC information'!$D$76</f>
        <v>850.6</v>
      </c>
      <c r="T29" s="1010"/>
      <c r="U29" s="1010"/>
      <c r="V29" s="1010" t="s">
        <v>2401</v>
      </c>
      <c r="W29" s="1011">
        <f>'History GHG emissions G20'!C30*10^-3</f>
        <v>537.16333330000009</v>
      </c>
      <c r="X29" s="1011">
        <f>'History GHG emissions G20'!E30*10^-3</f>
        <v>586.03</v>
      </c>
      <c r="Y29" s="1008" t="s">
        <v>2088</v>
      </c>
      <c r="Z29" s="1014"/>
      <c r="AA29" s="1014">
        <v>626.87829999999997</v>
      </c>
      <c r="AB29" s="1003"/>
      <c r="AC29" s="1011">
        <f>'History GHG emissions G20'!J30*10^-3</f>
        <v>-43.266666700000002</v>
      </c>
      <c r="AD29" s="1011">
        <f>'History GHG emissions G20'!N30*10^-3</f>
        <v>-48.4</v>
      </c>
      <c r="AE29" s="1012">
        <f>IF(AA29="","&lt;0.1%",IF(AA29/$AA$81&lt;0.001,"&lt;0.1%",AA29/$AA$81))</f>
        <v>1.4100336275040783E-2</v>
      </c>
      <c r="AF29" s="1012"/>
      <c r="AG29" s="1012"/>
      <c r="AH29" s="1005">
        <v>2030</v>
      </c>
      <c r="AI29" s="1003"/>
      <c r="AJ29" s="1013" t="str">
        <f t="shared" si="0"/>
        <v/>
      </c>
      <c r="AK29" s="1013" t="str">
        <f t="shared" si="9"/>
        <v/>
      </c>
      <c r="AL29" s="1013" t="str">
        <f t="shared" si="2"/>
        <v/>
      </c>
      <c r="AM29" s="1013"/>
      <c r="AN29" s="1014" t="str">
        <f t="shared" si="7"/>
        <v/>
      </c>
      <c r="AO29" s="1010" t="str">
        <f t="shared" si="8"/>
        <v/>
      </c>
      <c r="AP29" s="1014"/>
      <c r="AQ29" s="1019"/>
      <c r="AR29" s="1019"/>
      <c r="AS29" s="1019"/>
      <c r="AT29" s="1083">
        <f>$AX29/($W29-$AC29)</f>
        <v>0.92324311286460037</v>
      </c>
      <c r="AU29" s="1015"/>
      <c r="AV29" s="1083">
        <f>$AX29/($X29-$AD29)</f>
        <v>0.8446605614488597</v>
      </c>
      <c r="AW29" s="1015"/>
      <c r="AX29" s="1011">
        <f>$O29*(1+$K29)</f>
        <v>535.87800000000004</v>
      </c>
      <c r="AY29" s="1003" t="s">
        <v>623</v>
      </c>
      <c r="AZ29" s="1003"/>
    </row>
    <row r="30" spans="1:55" x14ac:dyDescent="0.25">
      <c r="A30" s="992" t="s">
        <v>246</v>
      </c>
      <c r="B30" s="993" t="s">
        <v>235</v>
      </c>
      <c r="C30" s="994" t="s">
        <v>245</v>
      </c>
      <c r="D30" s="993"/>
      <c r="E30" s="995"/>
      <c r="F30" s="995"/>
      <c r="G30" s="993"/>
      <c r="H30" s="993" t="s">
        <v>624</v>
      </c>
      <c r="I30" s="993"/>
      <c r="J30" s="993" t="s">
        <v>624</v>
      </c>
      <c r="K30" s="993" t="s">
        <v>624</v>
      </c>
      <c r="L30" s="993" t="s">
        <v>617</v>
      </c>
      <c r="M30" s="993">
        <v>2010</v>
      </c>
      <c r="N30" s="995">
        <f>$X30</f>
        <v>7.8</v>
      </c>
      <c r="O30" s="995"/>
      <c r="P30" s="993"/>
      <c r="Q30" s="993"/>
      <c r="R30" s="993"/>
      <c r="S30" s="993"/>
      <c r="T30" s="995"/>
      <c r="U30" s="995"/>
      <c r="V30" s="995" t="s">
        <v>2401</v>
      </c>
      <c r="W30" s="996"/>
      <c r="X30" s="996">
        <v>7.8</v>
      </c>
      <c r="Y30" s="993" t="s">
        <v>625</v>
      </c>
      <c r="Z30" s="995"/>
      <c r="AA30" s="995" t="s">
        <v>2401</v>
      </c>
      <c r="AB30" s="993"/>
      <c r="AC30" s="997"/>
      <c r="AD30" s="997"/>
      <c r="AE30" s="997" t="str">
        <f>IF(AA30="","&lt;0.1%",IF(AA30/$AA$81&lt;0.001,"&lt;0.1%",AA30/$AA$81))</f>
        <v>&lt;0.1%</v>
      </c>
      <c r="AF30" s="997"/>
      <c r="AG30" s="997"/>
      <c r="AH30" s="998">
        <v>2025</v>
      </c>
      <c r="AI30" s="993"/>
      <c r="AJ30" s="999">
        <f t="shared" si="0"/>
        <v>0.67999999999999994</v>
      </c>
      <c r="AK30" s="1039">
        <f t="shared" si="9"/>
        <v>0.67999999999999994</v>
      </c>
      <c r="AL30" s="999" t="str">
        <f t="shared" si="2"/>
        <v/>
      </c>
      <c r="AM30" s="999"/>
      <c r="AN30" s="995">
        <f t="shared" si="7"/>
        <v>5.3039999999999994</v>
      </c>
      <c r="AO30" s="1000">
        <f t="shared" si="8"/>
        <v>5.3039999999999994</v>
      </c>
      <c r="AP30" s="995"/>
      <c r="AQ30" s="1017"/>
      <c r="AR30" s="1017"/>
      <c r="AS30" s="1017"/>
      <c r="AT30" s="1017"/>
      <c r="AU30" s="1017"/>
      <c r="AV30" s="1017"/>
      <c r="AW30" s="1017"/>
      <c r="AX30" s="1017"/>
      <c r="AY30" s="993" t="s">
        <v>626</v>
      </c>
      <c r="AZ30" s="993"/>
    </row>
    <row r="31" spans="1:55" x14ac:dyDescent="0.25">
      <c r="A31" s="1002" t="s">
        <v>244</v>
      </c>
      <c r="B31" s="1003" t="s">
        <v>235</v>
      </c>
      <c r="C31" s="1018" t="s">
        <v>8</v>
      </c>
      <c r="D31" s="1003"/>
      <c r="E31" s="1014"/>
      <c r="F31" s="1014"/>
      <c r="G31" s="1003"/>
      <c r="H31" s="1003" t="s">
        <v>590</v>
      </c>
      <c r="I31" s="1003"/>
      <c r="J31" s="1003" t="s">
        <v>590</v>
      </c>
      <c r="K31" s="1003" t="s">
        <v>590</v>
      </c>
      <c r="L31" s="1003" t="s">
        <v>597</v>
      </c>
      <c r="M31" s="1003">
        <v>2005</v>
      </c>
      <c r="N31" s="1014">
        <v>48.239921577200931</v>
      </c>
      <c r="O31" s="1014"/>
      <c r="P31" s="1003"/>
      <c r="Q31" s="1003" t="s">
        <v>587</v>
      </c>
      <c r="R31" s="1003"/>
      <c r="S31" s="1003"/>
      <c r="T31" s="1014">
        <v>48.239921577200931</v>
      </c>
      <c r="U31" s="1014"/>
      <c r="V31" s="1014">
        <v>59.341900000000003</v>
      </c>
      <c r="W31" s="1009"/>
      <c r="X31" s="1009">
        <v>41.740530441655295</v>
      </c>
      <c r="Y31" s="1003" t="s">
        <v>587</v>
      </c>
      <c r="Z31" s="1014">
        <v>41.740530441655295</v>
      </c>
      <c r="AA31" s="1014">
        <v>56.097200000000001</v>
      </c>
      <c r="AB31" s="1003"/>
      <c r="AC31" s="1012"/>
      <c r="AD31" s="1012"/>
      <c r="AE31" s="1012">
        <f>IF(AA31="","&lt;0.1%",IF(AA31/$AA$81&lt;0.001,"&lt;0.1%",AA31/$AA$81))</f>
        <v>1.2617909793467374E-3</v>
      </c>
      <c r="AF31" s="1012"/>
      <c r="AG31" s="1012"/>
      <c r="AH31" s="1005">
        <v>2030</v>
      </c>
      <c r="AI31" s="1003"/>
      <c r="AJ31" s="1013">
        <f t="shared" si="0"/>
        <v>0.80899654955849964</v>
      </c>
      <c r="AK31" s="1013">
        <f t="shared" si="9"/>
        <v>0.80899654955849964</v>
      </c>
      <c r="AL31" s="1013" t="str">
        <f t="shared" si="2"/>
        <v/>
      </c>
      <c r="AM31" s="1013"/>
      <c r="AN31" s="1014">
        <f t="shared" si="7"/>
        <v>33.767945104040649</v>
      </c>
      <c r="AO31" s="1010">
        <f t="shared" si="8"/>
        <v>33.767945104040649</v>
      </c>
      <c r="AP31" s="1014"/>
      <c r="AQ31" s="1019"/>
      <c r="AR31" s="1019"/>
      <c r="AS31" s="1019"/>
      <c r="AT31" s="1019"/>
      <c r="AU31" s="1019"/>
      <c r="AV31" s="1019"/>
      <c r="AW31" s="1019"/>
      <c r="AX31" s="1019"/>
      <c r="AY31" s="1003"/>
      <c r="AZ31" s="1056"/>
    </row>
    <row r="32" spans="1:55" s="19" customFormat="1" x14ac:dyDescent="0.25">
      <c r="A32" s="1021"/>
      <c r="B32" s="982" t="s">
        <v>198</v>
      </c>
      <c r="C32" s="983"/>
      <c r="D32" s="1022"/>
      <c r="E32" s="985"/>
      <c r="F32" s="985"/>
      <c r="G32" s="1022"/>
      <c r="H32" s="1022"/>
      <c r="I32" s="1022"/>
      <c r="J32" s="1022"/>
      <c r="K32" s="1022"/>
      <c r="L32" s="1022"/>
      <c r="M32" s="1022"/>
      <c r="N32" s="985"/>
      <c r="O32" s="985"/>
      <c r="P32" s="1022"/>
      <c r="Q32" s="1022"/>
      <c r="R32" s="1022"/>
      <c r="S32" s="1022"/>
      <c r="T32" s="985"/>
      <c r="U32" s="985"/>
      <c r="V32" s="985" t="s">
        <v>2401</v>
      </c>
      <c r="W32" s="1023"/>
      <c r="X32" s="1023"/>
      <c r="Y32" s="1022"/>
      <c r="Z32" s="985"/>
      <c r="AA32" s="985" t="s">
        <v>2401</v>
      </c>
      <c r="AB32" s="1022"/>
      <c r="AC32" s="1024"/>
      <c r="AD32" s="1024"/>
      <c r="AE32" s="1024"/>
      <c r="AF32" s="1024"/>
      <c r="AG32" s="1024"/>
      <c r="AH32" s="1025"/>
      <c r="AI32" s="1022"/>
      <c r="AJ32" s="1026" t="str">
        <f t="shared" si="0"/>
        <v/>
      </c>
      <c r="AK32" s="984" t="str">
        <f t="shared" si="9"/>
        <v/>
      </c>
      <c r="AL32" s="988" t="str">
        <f t="shared" si="2"/>
        <v/>
      </c>
      <c r="AM32" s="988"/>
      <c r="AN32" s="985" t="str">
        <f t="shared" si="7"/>
        <v/>
      </c>
      <c r="AO32" s="985" t="str">
        <f t="shared" si="8"/>
        <v/>
      </c>
      <c r="AP32" s="985"/>
      <c r="AQ32" s="1027"/>
      <c r="AR32" s="1027"/>
      <c r="AS32" s="1027"/>
      <c r="AT32" s="1027"/>
      <c r="AU32" s="1027"/>
      <c r="AV32" s="1027"/>
      <c r="AW32" s="1040"/>
      <c r="AX32" s="1040"/>
      <c r="AY32" s="1022"/>
      <c r="AZ32" s="1029"/>
    </row>
    <row r="33" spans="1:56" x14ac:dyDescent="0.25">
      <c r="A33" s="1002" t="s">
        <v>233</v>
      </c>
      <c r="B33" s="1003" t="s">
        <v>198</v>
      </c>
      <c r="C33" s="1018" t="s">
        <v>232</v>
      </c>
      <c r="D33" s="1003" t="s">
        <v>618</v>
      </c>
      <c r="E33" s="1014"/>
      <c r="F33" s="1014"/>
      <c r="G33" s="1003" t="s">
        <v>627</v>
      </c>
      <c r="H33" s="1003"/>
      <c r="I33" s="1003" t="s">
        <v>628</v>
      </c>
      <c r="J33" s="1003"/>
      <c r="K33" s="1003" t="s">
        <v>629</v>
      </c>
      <c r="L33" s="1003" t="s">
        <v>579</v>
      </c>
      <c r="M33" s="1003">
        <v>2030</v>
      </c>
      <c r="N33" s="1014">
        <f>$R33</f>
        <v>48.9</v>
      </c>
      <c r="O33" s="1014"/>
      <c r="P33" s="1003"/>
      <c r="Q33" s="1003" t="s">
        <v>2513</v>
      </c>
      <c r="R33" s="1003">
        <v>48.9</v>
      </c>
      <c r="S33" s="1003"/>
      <c r="T33" s="1014"/>
      <c r="U33" s="1014"/>
      <c r="V33" s="1014" t="s">
        <v>2401</v>
      </c>
      <c r="W33" s="1009"/>
      <c r="X33" s="1009">
        <f>$AA33</f>
        <v>30.622399999999999</v>
      </c>
      <c r="Y33" s="1003" t="s">
        <v>580</v>
      </c>
      <c r="Z33" s="1014"/>
      <c r="AA33" s="1014">
        <v>30.622399999999999</v>
      </c>
      <c r="AB33" s="1003"/>
      <c r="AC33" s="1012"/>
      <c r="AD33" s="1012"/>
      <c r="AE33" s="1012" t="str">
        <f t="shared" ref="AE33:AE43" si="10">IF(AA33="","&lt;0.1%",IF(AA33/$AA$81&lt;0.001,"&lt;0.1%",AA33/$AA$81))</f>
        <v>&lt;0.1%</v>
      </c>
      <c r="AF33" s="1012"/>
      <c r="AG33" s="1012"/>
      <c r="AH33" s="1005">
        <v>2030</v>
      </c>
      <c r="AI33" s="1014">
        <f>$N33</f>
        <v>48.9</v>
      </c>
      <c r="AJ33" s="1013">
        <f t="shared" si="0"/>
        <v>1.5968702649041224</v>
      </c>
      <c r="AK33" s="1013">
        <f t="shared" si="9"/>
        <v>1.3733084278175451</v>
      </c>
      <c r="AL33" s="1013" t="str">
        <f t="shared" si="2"/>
        <v/>
      </c>
      <c r="AM33" s="1013"/>
      <c r="AN33" s="1014">
        <f t="shared" si="7"/>
        <v>48.9</v>
      </c>
      <c r="AO33" s="1010">
        <f t="shared" si="8"/>
        <v>42.053999999999995</v>
      </c>
      <c r="AP33" s="1014"/>
      <c r="AQ33" s="1019"/>
      <c r="AR33" s="1019"/>
      <c r="AS33" s="1019"/>
      <c r="AT33" s="1019"/>
      <c r="AU33" s="1019"/>
      <c r="AV33" s="1019"/>
      <c r="AW33" s="1019"/>
      <c r="AX33" s="1019"/>
      <c r="AY33" s="1003"/>
      <c r="AZ33" s="1003"/>
    </row>
    <row r="34" spans="1:56" ht="15" customHeight="1" x14ac:dyDescent="0.25">
      <c r="A34" s="992" t="s">
        <v>231</v>
      </c>
      <c r="B34" s="993" t="s">
        <v>198</v>
      </c>
      <c r="C34" s="994" t="s">
        <v>230</v>
      </c>
      <c r="D34" s="993"/>
      <c r="E34" s="995"/>
      <c r="F34" s="995"/>
      <c r="G34" s="993" t="s">
        <v>630</v>
      </c>
      <c r="H34" s="993" t="s">
        <v>631</v>
      </c>
      <c r="I34" s="993" t="s">
        <v>604</v>
      </c>
      <c r="J34" s="993" t="s">
        <v>631</v>
      </c>
      <c r="K34" s="993" t="s">
        <v>604</v>
      </c>
      <c r="L34" s="993" t="s">
        <v>579</v>
      </c>
      <c r="M34" s="993">
        <v>2030</v>
      </c>
      <c r="N34" s="995">
        <v>234</v>
      </c>
      <c r="O34" s="995"/>
      <c r="P34" s="993"/>
      <c r="Q34" s="993" t="s">
        <v>2513</v>
      </c>
      <c r="R34" s="993"/>
      <c r="S34" s="993"/>
      <c r="T34" s="995"/>
      <c r="U34" s="995"/>
      <c r="V34" s="995" t="s">
        <v>2401</v>
      </c>
      <c r="W34" s="996"/>
      <c r="X34" s="996">
        <v>64</v>
      </c>
      <c r="Y34" s="993" t="s">
        <v>2513</v>
      </c>
      <c r="Z34" s="995"/>
      <c r="AA34" s="995">
        <v>182.2115</v>
      </c>
      <c r="AB34" s="993"/>
      <c r="AC34" s="997"/>
      <c r="AD34" s="997"/>
      <c r="AE34" s="997">
        <f t="shared" si="10"/>
        <v>4.0984724198932935E-3</v>
      </c>
      <c r="AF34" s="997"/>
      <c r="AG34" s="997"/>
      <c r="AH34" s="998">
        <v>2030</v>
      </c>
      <c r="AI34" s="993"/>
      <c r="AJ34" s="999">
        <f t="shared" si="0"/>
        <v>3.46875</v>
      </c>
      <c r="AK34" s="999">
        <f t="shared" si="9"/>
        <v>3.09375</v>
      </c>
      <c r="AL34" s="999"/>
      <c r="AM34" s="999"/>
      <c r="AN34" s="995">
        <v>222</v>
      </c>
      <c r="AO34" s="1000">
        <v>198</v>
      </c>
      <c r="AP34" s="995"/>
      <c r="AQ34" s="1017"/>
      <c r="AR34" s="1017"/>
      <c r="AS34" s="1017"/>
      <c r="AT34" s="1017"/>
      <c r="AU34" s="1017"/>
      <c r="AV34" s="1017"/>
      <c r="AW34" s="1017"/>
      <c r="AX34" s="1017"/>
      <c r="AY34" s="1057"/>
      <c r="AZ34" s="1020"/>
    </row>
    <row r="35" spans="1:56" ht="15" customHeight="1" x14ac:dyDescent="0.25">
      <c r="A35" s="1002" t="s">
        <v>223</v>
      </c>
      <c r="B35" s="1003" t="s">
        <v>198</v>
      </c>
      <c r="C35" s="1018" t="s">
        <v>222</v>
      </c>
      <c r="D35" s="1003"/>
      <c r="E35" s="1014"/>
      <c r="F35" s="1014"/>
      <c r="G35" s="1003" t="s">
        <v>632</v>
      </c>
      <c r="H35" s="1003"/>
      <c r="I35" s="1003" t="s">
        <v>633</v>
      </c>
      <c r="J35" s="1003"/>
      <c r="K35" s="1003" t="s">
        <v>633</v>
      </c>
      <c r="L35" s="1003" t="s">
        <v>579</v>
      </c>
      <c r="M35" s="1003">
        <v>2030</v>
      </c>
      <c r="N35" s="1014">
        <v>11.481481481481481</v>
      </c>
      <c r="O35" s="1014"/>
      <c r="P35" s="1003"/>
      <c r="Q35" s="1003" t="s">
        <v>2513</v>
      </c>
      <c r="R35" s="1003"/>
      <c r="S35" s="1003"/>
      <c r="T35" s="1014"/>
      <c r="U35" s="1014"/>
      <c r="V35" s="1014" t="s">
        <v>2401</v>
      </c>
      <c r="W35" s="1009"/>
      <c r="X35" s="1009">
        <v>4.1520000000000001</v>
      </c>
      <c r="Y35" s="1003" t="s">
        <v>580</v>
      </c>
      <c r="Z35" s="1014"/>
      <c r="AA35" s="1014">
        <v>48.632300000000001</v>
      </c>
      <c r="AB35" s="1003"/>
      <c r="AC35" s="1012"/>
      <c r="AD35" s="1012"/>
      <c r="AE35" s="1012">
        <f t="shared" si="10"/>
        <v>1.0938834281369542E-3</v>
      </c>
      <c r="AF35" s="1012"/>
      <c r="AG35" s="1012"/>
      <c r="AH35" s="1005">
        <v>2030</v>
      </c>
      <c r="AI35" s="1003"/>
      <c r="AJ35" s="1013">
        <f t="shared" ref="AJ35:AJ54" si="11">IF($AN35="","",$AN35/$X35)</f>
        <v>2.7652893741525726</v>
      </c>
      <c r="AK35" s="1013">
        <f t="shared" si="9"/>
        <v>2.018661243131378</v>
      </c>
      <c r="AL35" s="1013"/>
      <c r="AM35" s="1013"/>
      <c r="AN35" s="1014">
        <f>IF($N35="","",$N35*(1+$J35))</f>
        <v>11.481481481481481</v>
      </c>
      <c r="AO35" s="1010">
        <f>IF($N35="","",$N35*(1+$K35))</f>
        <v>8.3814814814814813</v>
      </c>
      <c r="AP35" s="1014"/>
      <c r="AQ35" s="1019"/>
      <c r="AR35" s="1019"/>
      <c r="AS35" s="1019"/>
      <c r="AT35" s="1019"/>
      <c r="AU35" s="1019"/>
      <c r="AV35" s="1019"/>
      <c r="AW35" s="1019"/>
      <c r="AX35" s="1019"/>
      <c r="AY35" s="1058"/>
      <c r="AZ35" s="1056"/>
    </row>
    <row r="36" spans="1:56" x14ac:dyDescent="0.25">
      <c r="A36" s="992" t="s">
        <v>221</v>
      </c>
      <c r="B36" s="993" t="s">
        <v>198</v>
      </c>
      <c r="C36" s="1004" t="s">
        <v>11</v>
      </c>
      <c r="D36" s="1030" t="s">
        <v>1492</v>
      </c>
      <c r="E36" s="1030" t="s">
        <v>688</v>
      </c>
      <c r="F36" s="1000" t="s">
        <v>683</v>
      </c>
      <c r="G36" s="993"/>
      <c r="H36" s="993" t="s">
        <v>634</v>
      </c>
      <c r="I36" s="993" t="s">
        <v>635</v>
      </c>
      <c r="J36" s="993" t="s">
        <v>634</v>
      </c>
      <c r="K36" s="993" t="s">
        <v>635</v>
      </c>
      <c r="L36" s="993" t="s">
        <v>636</v>
      </c>
      <c r="M36" s="993">
        <v>2005</v>
      </c>
      <c r="N36" s="1059"/>
      <c r="O36" s="1034">
        <f>'NDC information'!$C$24/100</f>
        <v>5975.57</v>
      </c>
      <c r="P36" s="1030" t="str">
        <f>'NDC information'!$A$18</f>
        <v>SAR</v>
      </c>
      <c r="Q36" s="1030" t="s">
        <v>1376</v>
      </c>
      <c r="R36" s="1030"/>
      <c r="S36" s="1030"/>
      <c r="T36" s="1000"/>
      <c r="U36" s="1000"/>
      <c r="V36" s="1000">
        <v>6974.0536000000002</v>
      </c>
      <c r="W36" s="1034">
        <f>'History GHG emissions G20'!C37*10^-3</f>
        <v>7675.1833321000004</v>
      </c>
      <c r="X36" s="1034">
        <f>'History GHG emissions G20'!E37*10^-3</f>
        <v>10658.8291954</v>
      </c>
      <c r="Y36" s="1030" t="s">
        <v>2088</v>
      </c>
      <c r="Z36" s="1000"/>
      <c r="AA36" s="1000">
        <v>9473.0467000000008</v>
      </c>
      <c r="AB36" s="1030"/>
      <c r="AC36" s="1034">
        <f>'History GHG emissions G20'!J37*10^-3</f>
        <v>-339.81666790000003</v>
      </c>
      <c r="AD36" s="1034">
        <f>'History GHG emissions G20'!N37*10^-3</f>
        <v>-396.1708046</v>
      </c>
      <c r="AE36" s="997">
        <f t="shared" si="10"/>
        <v>0.21307667535973954</v>
      </c>
      <c r="AF36" s="1050">
        <v>5612.5240000000003</v>
      </c>
      <c r="AG36" s="1050">
        <v>30402.432000000001</v>
      </c>
      <c r="AH36" s="998">
        <v>2030</v>
      </c>
      <c r="AI36" s="993"/>
      <c r="AJ36" s="999">
        <f t="shared" si="11"/>
        <v>1.2147305148776351</v>
      </c>
      <c r="AK36" s="999">
        <f t="shared" si="9"/>
        <v>1.0628892005179307</v>
      </c>
      <c r="AL36" s="999">
        <f t="shared" ref="AL36:AL81" si="12">IF($AP36="","",$AP36/$X36)</f>
        <v>1.2287251260471874</v>
      </c>
      <c r="AM36" s="999"/>
      <c r="AN36" s="1000">
        <f>IF($O36="","",$O36/$AF36*(1+$J36)*$AG36)</f>
        <v>12947.605076521009</v>
      </c>
      <c r="AO36" s="1000">
        <f>IF($O36="","",$O36/$AF36*(1+$K36)*$AG36)</f>
        <v>11329.154441955883</v>
      </c>
      <c r="AP36" s="1060">
        <v>13096.771246633307</v>
      </c>
      <c r="AQ36" s="1035">
        <v>-250</v>
      </c>
      <c r="AR36" s="1035"/>
      <c r="AS36" s="1035"/>
      <c r="AT36" s="1035"/>
      <c r="AU36" s="1035"/>
      <c r="AV36" s="1035"/>
      <c r="AW36" s="1034"/>
      <c r="AX36" s="1034"/>
      <c r="AY36" s="1030" t="s">
        <v>2552</v>
      </c>
      <c r="AZ36" s="996"/>
      <c r="BA36" s="534" t="s">
        <v>1649</v>
      </c>
      <c r="BD36" s="602"/>
    </row>
    <row r="37" spans="1:56" x14ac:dyDescent="0.25">
      <c r="A37" s="1002" t="s">
        <v>218</v>
      </c>
      <c r="B37" s="1003" t="s">
        <v>198</v>
      </c>
      <c r="C37" s="1004" t="s">
        <v>4</v>
      </c>
      <c r="D37" s="1003" t="s">
        <v>582</v>
      </c>
      <c r="E37" s="1008" t="s">
        <v>688</v>
      </c>
      <c r="F37" s="1010" t="s">
        <v>683</v>
      </c>
      <c r="G37" s="1008" t="s">
        <v>1493</v>
      </c>
      <c r="H37" s="1003" t="s">
        <v>637</v>
      </c>
      <c r="I37" s="1003" t="s">
        <v>638</v>
      </c>
      <c r="J37" s="1003" t="s">
        <v>637</v>
      </c>
      <c r="K37" s="1003" t="s">
        <v>638</v>
      </c>
      <c r="L37" s="1003" t="s">
        <v>639</v>
      </c>
      <c r="M37" s="1003">
        <v>2005</v>
      </c>
      <c r="N37" s="1010"/>
      <c r="O37" s="1011">
        <f>'NDC information'!$C$55</f>
        <v>1433</v>
      </c>
      <c r="P37" s="1008" t="str">
        <f>'NDC information'!$A$53</f>
        <v>SAR</v>
      </c>
      <c r="Q37" s="1008" t="s">
        <v>1494</v>
      </c>
      <c r="R37" s="1008"/>
      <c r="S37" s="1008"/>
      <c r="T37" s="1010"/>
      <c r="U37" s="1010"/>
      <c r="V37" s="1010">
        <v>1914.4580000000001</v>
      </c>
      <c r="W37" s="1011">
        <f>'History GHG emissions G20'!C38*10^-3</f>
        <v>2265.9767086000002</v>
      </c>
      <c r="X37" s="1011">
        <f>'History GHG emissions G20'!E38*10^-3</f>
        <v>2988.8429238999997</v>
      </c>
      <c r="Y37" s="1008" t="s">
        <v>2088</v>
      </c>
      <c r="Z37" s="1014"/>
      <c r="AA37" s="1014">
        <v>2647.9268000000002</v>
      </c>
      <c r="AB37" s="1003"/>
      <c r="AC37" s="1011">
        <f>'History GHG emissions G20'!J38*10^-3</f>
        <v>-166.02329139999998</v>
      </c>
      <c r="AD37" s="1011">
        <f>'History GHG emissions G20'!N38*10^-3</f>
        <v>-127.15707610000001</v>
      </c>
      <c r="AE37" s="1012">
        <f t="shared" si="10"/>
        <v>5.9559659844171775E-2</v>
      </c>
      <c r="AF37" s="1055">
        <v>2517.884</v>
      </c>
      <c r="AG37" s="1055">
        <v>13939.805</v>
      </c>
      <c r="AH37" s="1005">
        <v>2030</v>
      </c>
      <c r="AI37" s="1003"/>
      <c r="AJ37" s="1013">
        <f t="shared" si="11"/>
        <v>1.7784386246141628</v>
      </c>
      <c r="AK37" s="1013">
        <f t="shared" si="9"/>
        <v>1.7253509044764272</v>
      </c>
      <c r="AL37" s="1013">
        <f t="shared" si="12"/>
        <v>1.5645300861625262</v>
      </c>
      <c r="AM37" s="1013"/>
      <c r="AN37" s="1010">
        <f>IF($O37="","",$O37/$AF37*(1+$J37)*$AG37)</f>
        <v>5315.4736987684882</v>
      </c>
      <c r="AO37" s="1010">
        <f>IF($O37="","",$O37/$AF37*(1+$K37)*$AG37)</f>
        <v>5156.802842088834</v>
      </c>
      <c r="AP37" s="1060">
        <v>4676.1346772555235</v>
      </c>
      <c r="AQ37" s="1015">
        <v>-324.99999999999994</v>
      </c>
      <c r="AR37" s="1015"/>
      <c r="AS37" s="1015"/>
      <c r="AT37" s="1015"/>
      <c r="AU37" s="1015"/>
      <c r="AV37" s="1015"/>
      <c r="AW37" s="1011"/>
      <c r="AX37" s="1011"/>
      <c r="AY37" s="1008" t="s">
        <v>2552</v>
      </c>
      <c r="AZ37" s="1009"/>
      <c r="BA37" s="534" t="s">
        <v>1649</v>
      </c>
      <c r="BD37" s="602"/>
    </row>
    <row r="38" spans="1:56" x14ac:dyDescent="0.25">
      <c r="A38" s="992" t="s">
        <v>216</v>
      </c>
      <c r="B38" s="993" t="s">
        <v>198</v>
      </c>
      <c r="C38" s="1004" t="s">
        <v>6</v>
      </c>
      <c r="D38" s="993" t="s">
        <v>582</v>
      </c>
      <c r="E38" s="993" t="s">
        <v>687</v>
      </c>
      <c r="F38" s="1000" t="s">
        <v>1648</v>
      </c>
      <c r="G38" s="993" t="s">
        <v>583</v>
      </c>
      <c r="H38" s="993" t="s">
        <v>640</v>
      </c>
      <c r="I38" s="993" t="s">
        <v>641</v>
      </c>
      <c r="J38" s="993" t="s">
        <v>640</v>
      </c>
      <c r="K38" s="993" t="s">
        <v>641</v>
      </c>
      <c r="L38" s="993" t="s">
        <v>579</v>
      </c>
      <c r="M38" s="993">
        <v>2030</v>
      </c>
      <c r="N38" s="1034">
        <f>$R38</f>
        <v>2881</v>
      </c>
      <c r="O38" s="1041">
        <f>$S38</f>
        <v>1917.9090000000001</v>
      </c>
      <c r="P38" s="1030" t="str">
        <f>'NDC information'!$A$79</f>
        <v>AR4</v>
      </c>
      <c r="Q38" s="1030" t="s">
        <v>2513</v>
      </c>
      <c r="R38" s="1034">
        <f>'NDC information'!$D$81</f>
        <v>2881</v>
      </c>
      <c r="S38" s="1036">
        <f>'LULUCF Indonesia'!$C$38-'LULUCF Indonesia'!$C$37</f>
        <v>1917.9090000000001</v>
      </c>
      <c r="T38" s="1000"/>
      <c r="U38" s="1000"/>
      <c r="V38" s="1000" t="s">
        <v>2401</v>
      </c>
      <c r="W38" s="1034">
        <f>'History GHG emissions G20'!C39*10^-3</f>
        <v>1830.9540314000001</v>
      </c>
      <c r="X38" s="1034">
        <f>'History GHG emissions G20'!E39*10^-3</f>
        <v>2147.9189114999999</v>
      </c>
      <c r="Y38" s="1030" t="s">
        <v>2088</v>
      </c>
      <c r="Z38" s="1000"/>
      <c r="AA38" s="1000">
        <v>1928.0218</v>
      </c>
      <c r="AB38" s="1030"/>
      <c r="AC38" s="1034">
        <f>'History GHG emissions G20'!J39*10^-3</f>
        <v>1100.9540314000001</v>
      </c>
      <c r="AD38" s="1034">
        <f>'History GHG emissions G20'!N39*10^-3</f>
        <v>1297.9189114999999</v>
      </c>
      <c r="AE38" s="997">
        <f t="shared" si="10"/>
        <v>4.3366879545215439E-2</v>
      </c>
      <c r="AF38" s="997"/>
      <c r="AG38" s="997"/>
      <c r="AH38" s="998">
        <v>2030</v>
      </c>
      <c r="AI38" s="1082">
        <f>$N38</f>
        <v>2881</v>
      </c>
      <c r="AJ38" s="999">
        <f t="shared" si="11"/>
        <v>0.95232179811272177</v>
      </c>
      <c r="AK38" s="999">
        <f t="shared" si="9"/>
        <v>0.7913660012485999</v>
      </c>
      <c r="AL38" s="999" t="str">
        <f t="shared" si="12"/>
        <v/>
      </c>
      <c r="AM38" s="999"/>
      <c r="AN38" s="995">
        <f>IF($N38="","",$N38*(1+$J38))</f>
        <v>2045.51</v>
      </c>
      <c r="AO38" s="995">
        <f>IF($N38="","",$N38*(1+$K38))</f>
        <v>1699.7900000000002</v>
      </c>
      <c r="AP38" s="995"/>
      <c r="AQ38" s="1035">
        <f>'LULUCF Indonesia'!$G$37</f>
        <v>438.7685140000001</v>
      </c>
      <c r="AR38" s="1035"/>
      <c r="AS38" s="1037">
        <f>$AW38/$W38</f>
        <v>0.92836301231456475</v>
      </c>
      <c r="AT38" s="1084">
        <f>$AX38/($W38-$AC38)</f>
        <v>1.727426693150685</v>
      </c>
      <c r="AU38" s="1037">
        <f>$AW38/$X38</f>
        <v>0.7913660012485999</v>
      </c>
      <c r="AV38" s="1084">
        <f>$AX38/($X38-$AD38)</f>
        <v>1.4835546894117648</v>
      </c>
      <c r="AW38" s="1034">
        <f>$N38*(1+$K38)</f>
        <v>1699.7900000000002</v>
      </c>
      <c r="AX38" s="1034">
        <f>$AW38-$AQ38</f>
        <v>1261.0214860000001</v>
      </c>
      <c r="AY38" s="993"/>
      <c r="AZ38" s="993"/>
      <c r="BA38" s="8" t="s">
        <v>1677</v>
      </c>
      <c r="BB38" s="534" t="s">
        <v>1676</v>
      </c>
      <c r="BD38" s="8" t="s">
        <v>2563</v>
      </c>
    </row>
    <row r="39" spans="1:56" x14ac:dyDescent="0.25">
      <c r="A39" s="1002" t="s">
        <v>213</v>
      </c>
      <c r="B39" s="1003" t="s">
        <v>198</v>
      </c>
      <c r="C39" s="1018" t="s">
        <v>330</v>
      </c>
      <c r="D39" s="1003" t="s">
        <v>618</v>
      </c>
      <c r="E39" s="1014"/>
      <c r="F39" s="1014"/>
      <c r="G39" s="1003" t="s">
        <v>583</v>
      </c>
      <c r="H39" s="1053">
        <v>-0.35</v>
      </c>
      <c r="I39" s="1053">
        <v>-0.45</v>
      </c>
      <c r="J39" s="1054">
        <v>-0.35</v>
      </c>
      <c r="K39" s="1054">
        <v>-0.45</v>
      </c>
      <c r="L39" s="1003" t="s">
        <v>642</v>
      </c>
      <c r="M39" s="1005">
        <v>2005</v>
      </c>
      <c r="N39" s="1014">
        <f>$V39</f>
        <v>422.98660000000001</v>
      </c>
      <c r="O39" s="1014"/>
      <c r="P39" s="1003"/>
      <c r="Q39" s="1003" t="s">
        <v>580</v>
      </c>
      <c r="R39" s="1003"/>
      <c r="S39" s="1003"/>
      <c r="T39" s="1003"/>
      <c r="U39" s="1003"/>
      <c r="V39" s="1014">
        <v>422.98660000000001</v>
      </c>
      <c r="W39" s="1009"/>
      <c r="X39" s="1009">
        <f>$AA39</f>
        <v>425.3218</v>
      </c>
      <c r="Y39" s="1003" t="s">
        <v>580</v>
      </c>
      <c r="Z39" s="1003"/>
      <c r="AA39" s="1014">
        <v>425.3218</v>
      </c>
      <c r="AB39" s="1003"/>
      <c r="AC39" s="1003"/>
      <c r="AD39" s="1003"/>
      <c r="AE39" s="1012">
        <f t="shared" si="10"/>
        <v>9.5667379220267176E-3</v>
      </c>
      <c r="AF39" s="1055">
        <v>313.49599999999998</v>
      </c>
      <c r="AG39" s="1055">
        <v>991.32431250000002</v>
      </c>
      <c r="AH39" s="1005">
        <v>2030</v>
      </c>
      <c r="AI39" s="1003"/>
      <c r="AJ39" s="1013">
        <f t="shared" si="11"/>
        <v>2.0441185360891905</v>
      </c>
      <c r="AK39" s="1013">
        <f t="shared" si="9"/>
        <v>1.7296387613062378</v>
      </c>
      <c r="AL39" s="1053">
        <f t="shared" si="12"/>
        <v>1.6397444714660889</v>
      </c>
      <c r="AM39" s="1053"/>
      <c r="AN39" s="1014">
        <f>IF($N39="","",$N39/$AF39*(1+$J39)*$AG39)</f>
        <v>869.40817518281938</v>
      </c>
      <c r="AO39" s="1010">
        <f>IF($N39="","",$N39/$AF39*(1+$K39)*$AG39)</f>
        <v>735.65307130853944</v>
      </c>
      <c r="AP39" s="1014">
        <v>697.41907014400556</v>
      </c>
      <c r="AQ39" s="1019"/>
      <c r="AR39" s="1019"/>
      <c r="AS39" s="1019"/>
      <c r="AT39" s="1019"/>
      <c r="AU39" s="1019"/>
      <c r="AV39" s="1019"/>
      <c r="AW39" s="1019"/>
      <c r="AX39" s="1019"/>
      <c r="AY39" s="1003" t="s">
        <v>2553</v>
      </c>
      <c r="AZ39" s="1056"/>
    </row>
    <row r="40" spans="1:56" x14ac:dyDescent="0.25">
      <c r="A40" s="992" t="s">
        <v>205</v>
      </c>
      <c r="B40" s="993" t="s">
        <v>198</v>
      </c>
      <c r="C40" s="994" t="s">
        <v>204</v>
      </c>
      <c r="D40" s="993" t="s">
        <v>582</v>
      </c>
      <c r="E40" s="995"/>
      <c r="F40" s="995"/>
      <c r="G40" s="993" t="s">
        <v>583</v>
      </c>
      <c r="H40" s="993"/>
      <c r="I40" s="993" t="s">
        <v>643</v>
      </c>
      <c r="J40" s="993"/>
      <c r="K40" s="993" t="s">
        <v>643</v>
      </c>
      <c r="L40" s="993" t="s">
        <v>579</v>
      </c>
      <c r="M40" s="993">
        <v>2030</v>
      </c>
      <c r="N40" s="995"/>
      <c r="O40" s="995"/>
      <c r="P40" s="993"/>
      <c r="Q40" s="993"/>
      <c r="R40" s="993"/>
      <c r="S40" s="993"/>
      <c r="T40" s="995"/>
      <c r="U40" s="995"/>
      <c r="V40" s="995" t="s">
        <v>2401</v>
      </c>
      <c r="W40" s="996"/>
      <c r="X40" s="996">
        <f>$AA40</f>
        <v>152.01679999999999</v>
      </c>
      <c r="Y40" s="993" t="s">
        <v>580</v>
      </c>
      <c r="Z40" s="995"/>
      <c r="AA40" s="995">
        <v>152.01679999999999</v>
      </c>
      <c r="AB40" s="993"/>
      <c r="AC40" s="997"/>
      <c r="AD40" s="997"/>
      <c r="AE40" s="997">
        <f t="shared" si="10"/>
        <v>3.4193048307073633E-3</v>
      </c>
      <c r="AF40" s="997"/>
      <c r="AG40" s="997"/>
      <c r="AH40" s="998">
        <v>2030</v>
      </c>
      <c r="AI40" s="993"/>
      <c r="AJ40" s="999" t="str">
        <f t="shared" si="11"/>
        <v/>
      </c>
      <c r="AK40" s="1061"/>
      <c r="AL40" s="999" t="str">
        <f t="shared" si="12"/>
        <v/>
      </c>
      <c r="AM40" s="999"/>
      <c r="AN40" s="995" t="str">
        <f>IF($N40="","",$N40*(1+$J40))</f>
        <v/>
      </c>
      <c r="AO40" s="1000" t="str">
        <f>IF($N40="","",$N40*(1+$K40))</f>
        <v/>
      </c>
      <c r="AP40" s="995"/>
      <c r="AQ40" s="1017"/>
      <c r="AR40" s="1017"/>
      <c r="AS40" s="1017"/>
      <c r="AT40" s="1017"/>
      <c r="AU40" s="1017"/>
      <c r="AV40" s="1017"/>
      <c r="AW40" s="1017"/>
      <c r="AX40" s="1017"/>
      <c r="AY40" s="998" t="s">
        <v>2554</v>
      </c>
      <c r="AZ40" s="993"/>
    </row>
    <row r="41" spans="1:56" x14ac:dyDescent="0.25">
      <c r="A41" s="1002" t="s">
        <v>203</v>
      </c>
      <c r="B41" s="1003" t="s">
        <v>198</v>
      </c>
      <c r="C41" s="1018" t="s">
        <v>202</v>
      </c>
      <c r="D41" s="1003"/>
      <c r="E41" s="1014"/>
      <c r="F41" s="1014"/>
      <c r="G41" s="1003"/>
      <c r="H41" s="1003" t="s">
        <v>591</v>
      </c>
      <c r="I41" s="1003"/>
      <c r="J41" s="1003" t="s">
        <v>591</v>
      </c>
      <c r="K41" s="1003" t="s">
        <v>591</v>
      </c>
      <c r="L41" s="1003" t="s">
        <v>642</v>
      </c>
      <c r="M41" s="1003">
        <v>2005</v>
      </c>
      <c r="N41" s="1014">
        <f>$V41</f>
        <v>47.4602</v>
      </c>
      <c r="O41" s="1014"/>
      <c r="P41" s="1003"/>
      <c r="Q41" s="1003" t="s">
        <v>580</v>
      </c>
      <c r="R41" s="1003"/>
      <c r="S41" s="1003"/>
      <c r="T41" s="1014"/>
      <c r="U41" s="1014"/>
      <c r="V41" s="1014">
        <v>47.4602</v>
      </c>
      <c r="W41" s="1009"/>
      <c r="X41" s="1009">
        <f>$AA41</f>
        <v>54.615400000000001</v>
      </c>
      <c r="Y41" s="1003" t="s">
        <v>580</v>
      </c>
      <c r="Z41" s="1014"/>
      <c r="AA41" s="1014">
        <v>54.615400000000001</v>
      </c>
      <c r="AB41" s="1003"/>
      <c r="AC41" s="1003"/>
      <c r="AD41" s="1003"/>
      <c r="AE41" s="1012">
        <f t="shared" si="10"/>
        <v>1.2284609401790785E-3</v>
      </c>
      <c r="AF41" s="1055">
        <v>193.55699999999999</v>
      </c>
      <c r="AG41" s="1055">
        <v>482.86799999999999</v>
      </c>
      <c r="AH41" s="1005">
        <v>2030</v>
      </c>
      <c r="AI41" s="1003"/>
      <c r="AJ41" s="1013">
        <f t="shared" si="11"/>
        <v>1.3874392054998097</v>
      </c>
      <c r="AK41" s="1013">
        <f t="shared" ref="AK41:AK59" si="13">IF($AO41="","",$AO41/$X41)</f>
        <v>1.3874392054998097</v>
      </c>
      <c r="AL41" s="1013">
        <f t="shared" si="12"/>
        <v>1.3874392054998097</v>
      </c>
      <c r="AM41" s="1013"/>
      <c r="AN41" s="1014">
        <f>IF($N41="","",$N41/$AF41*(1+$J41)*$AG41)</f>
        <v>75.775547184054304</v>
      </c>
      <c r="AO41" s="1010">
        <f>IF($N41="","",$N41/$AF41*(1+$K41)*$AG41)</f>
        <v>75.775547184054304</v>
      </c>
      <c r="AP41" s="1014">
        <f>$AO41</f>
        <v>75.775547184054304</v>
      </c>
      <c r="AQ41" s="1019"/>
      <c r="AR41" s="1019"/>
      <c r="AS41" s="1019"/>
      <c r="AT41" s="1019"/>
      <c r="AU41" s="1019"/>
      <c r="AV41" s="1019"/>
      <c r="AW41" s="1019"/>
      <c r="AX41" s="1019"/>
      <c r="AY41" s="1003" t="s">
        <v>644</v>
      </c>
      <c r="AZ41" s="1056"/>
    </row>
    <row r="42" spans="1:56" x14ac:dyDescent="0.25">
      <c r="A42" s="992" t="s">
        <v>201</v>
      </c>
      <c r="B42" s="993" t="s">
        <v>198</v>
      </c>
      <c r="C42" s="994" t="s">
        <v>200</v>
      </c>
      <c r="D42" s="993" t="s">
        <v>582</v>
      </c>
      <c r="E42" s="995"/>
      <c r="F42" s="995"/>
      <c r="G42" s="993" t="s">
        <v>583</v>
      </c>
      <c r="H42" s="993" t="s">
        <v>610</v>
      </c>
      <c r="I42" s="993" t="s">
        <v>611</v>
      </c>
      <c r="J42" s="993" t="s">
        <v>610</v>
      </c>
      <c r="K42" s="993" t="s">
        <v>611</v>
      </c>
      <c r="L42" s="993" t="s">
        <v>579</v>
      </c>
      <c r="M42" s="993">
        <v>2030</v>
      </c>
      <c r="N42" s="995">
        <f>$R42</f>
        <v>555</v>
      </c>
      <c r="O42" s="995"/>
      <c r="P42" s="993"/>
      <c r="Q42" s="993" t="s">
        <v>2513</v>
      </c>
      <c r="R42" s="993">
        <v>555</v>
      </c>
      <c r="S42" s="993"/>
      <c r="T42" s="995"/>
      <c r="U42" s="995"/>
      <c r="V42" s="995" t="s">
        <v>2401</v>
      </c>
      <c r="W42" s="996"/>
      <c r="X42" s="996">
        <f>$AA42</f>
        <v>355.7681</v>
      </c>
      <c r="Y42" s="993" t="s">
        <v>580</v>
      </c>
      <c r="Z42" s="995"/>
      <c r="AA42" s="995">
        <v>355.7681</v>
      </c>
      <c r="AB42" s="993"/>
      <c r="AC42" s="993"/>
      <c r="AD42" s="993"/>
      <c r="AE42" s="997">
        <f t="shared" si="10"/>
        <v>8.0022706894341978E-3</v>
      </c>
      <c r="AF42" s="997"/>
      <c r="AG42" s="997"/>
      <c r="AH42" s="998">
        <v>2030</v>
      </c>
      <c r="AI42" s="993"/>
      <c r="AJ42" s="999">
        <f t="shared" si="11"/>
        <v>1.2480039666288236</v>
      </c>
      <c r="AK42" s="999">
        <f t="shared" si="13"/>
        <v>1.1700037187145222</v>
      </c>
      <c r="AL42" s="999" t="str">
        <f t="shared" si="12"/>
        <v/>
      </c>
      <c r="AM42" s="999"/>
      <c r="AN42" s="995">
        <f t="shared" ref="AN42:AN54" si="14">IF($N42="","",$N42*(1+$J42))</f>
        <v>444</v>
      </c>
      <c r="AO42" s="1000">
        <f t="shared" ref="AO42:AO54" si="15">IF($N42="","",$N42*(1+$K42))</f>
        <v>416.25</v>
      </c>
      <c r="AP42" s="995"/>
      <c r="AQ42" s="1017"/>
      <c r="AR42" s="1017"/>
      <c r="AS42" s="1017"/>
      <c r="AT42" s="1017"/>
      <c r="AU42" s="1017"/>
      <c r="AV42" s="1017"/>
      <c r="AW42" s="1017"/>
      <c r="AX42" s="1017"/>
      <c r="AY42" s="993"/>
      <c r="AZ42" s="993"/>
    </row>
    <row r="43" spans="1:56" x14ac:dyDescent="0.25">
      <c r="A43" s="1002" t="s">
        <v>199</v>
      </c>
      <c r="B43" s="1003" t="s">
        <v>198</v>
      </c>
      <c r="C43" s="1018" t="s">
        <v>197</v>
      </c>
      <c r="D43" s="1003" t="s">
        <v>582</v>
      </c>
      <c r="E43" s="1014"/>
      <c r="F43" s="1014"/>
      <c r="G43" s="1003" t="s">
        <v>583</v>
      </c>
      <c r="H43" s="1003" t="s">
        <v>645</v>
      </c>
      <c r="I43" s="1003" t="s">
        <v>646</v>
      </c>
      <c r="J43" s="1003" t="s">
        <v>647</v>
      </c>
      <c r="K43" s="1003" t="s">
        <v>611</v>
      </c>
      <c r="L43" s="1003" t="s">
        <v>579</v>
      </c>
      <c r="M43" s="1003">
        <v>2030</v>
      </c>
      <c r="N43" s="1014">
        <f>$R43</f>
        <v>787.4</v>
      </c>
      <c r="O43" s="1014"/>
      <c r="P43" s="1003"/>
      <c r="Q43" s="1003" t="s">
        <v>2513</v>
      </c>
      <c r="R43" s="1003">
        <v>787.4</v>
      </c>
      <c r="S43" s="1003"/>
      <c r="T43" s="1014"/>
      <c r="U43" s="1014"/>
      <c r="V43" s="1014" t="s">
        <v>2401</v>
      </c>
      <c r="W43" s="1009"/>
      <c r="X43" s="1009">
        <v>274.19915624999999</v>
      </c>
      <c r="Y43" s="1003" t="s">
        <v>598</v>
      </c>
      <c r="Z43" s="1014"/>
      <c r="AA43" s="1014">
        <v>237.82390000000001</v>
      </c>
      <c r="AB43" s="1003"/>
      <c r="AC43" s="1003"/>
      <c r="AD43" s="1003"/>
      <c r="AE43" s="1012">
        <f t="shared" si="10"/>
        <v>5.3493588217069761E-3</v>
      </c>
      <c r="AF43" s="1012"/>
      <c r="AG43" s="1012"/>
      <c r="AH43" s="1005">
        <v>2030</v>
      </c>
      <c r="AI43" s="1014">
        <f>$N43</f>
        <v>787.4</v>
      </c>
      <c r="AJ43" s="1013">
        <f t="shared" si="11"/>
        <v>2.6419045554594045</v>
      </c>
      <c r="AK43" s="1013">
        <f t="shared" si="13"/>
        <v>2.153726539776688</v>
      </c>
      <c r="AL43" s="1013" t="str">
        <f t="shared" si="12"/>
        <v/>
      </c>
      <c r="AM43" s="1013"/>
      <c r="AN43" s="1014">
        <f t="shared" si="14"/>
        <v>724.40800000000002</v>
      </c>
      <c r="AO43" s="1010">
        <f t="shared" si="15"/>
        <v>590.54999999999995</v>
      </c>
      <c r="AP43" s="1014"/>
      <c r="AQ43" s="1019"/>
      <c r="AR43" s="1019"/>
      <c r="AS43" s="1019"/>
      <c r="AT43" s="1019"/>
      <c r="AU43" s="1019"/>
      <c r="AV43" s="1019"/>
      <c r="AW43" s="1019"/>
      <c r="AX43" s="1019"/>
      <c r="AY43" s="1003"/>
      <c r="AZ43" s="1003"/>
    </row>
    <row r="44" spans="1:56" s="19" customFormat="1" x14ac:dyDescent="0.25">
      <c r="A44" s="1021"/>
      <c r="B44" s="982" t="s">
        <v>175</v>
      </c>
      <c r="C44" s="983"/>
      <c r="D44" s="1022"/>
      <c r="E44" s="985"/>
      <c r="F44" s="985"/>
      <c r="G44" s="1022"/>
      <c r="H44" s="1022"/>
      <c r="I44" s="1022"/>
      <c r="J44" s="1022"/>
      <c r="K44" s="1022"/>
      <c r="L44" s="1022"/>
      <c r="M44" s="1022"/>
      <c r="N44" s="985"/>
      <c r="O44" s="985"/>
      <c r="P44" s="1022"/>
      <c r="Q44" s="1022"/>
      <c r="R44" s="1022"/>
      <c r="S44" s="1022"/>
      <c r="T44" s="985"/>
      <c r="U44" s="985"/>
      <c r="V44" s="985" t="s">
        <v>2401</v>
      </c>
      <c r="W44" s="1023"/>
      <c r="X44" s="1023"/>
      <c r="Y44" s="1022"/>
      <c r="Z44" s="985"/>
      <c r="AA44" s="985" t="s">
        <v>2401</v>
      </c>
      <c r="AB44" s="1022"/>
      <c r="AC44" s="1022"/>
      <c r="AD44" s="1022"/>
      <c r="AE44" s="1024"/>
      <c r="AF44" s="1024"/>
      <c r="AG44" s="1024"/>
      <c r="AH44" s="1025"/>
      <c r="AI44" s="1022"/>
      <c r="AJ44" s="1026" t="str">
        <f t="shared" si="11"/>
        <v/>
      </c>
      <c r="AK44" s="984" t="str">
        <f t="shared" si="13"/>
        <v/>
      </c>
      <c r="AL44" s="988" t="str">
        <f t="shared" si="12"/>
        <v/>
      </c>
      <c r="AM44" s="988"/>
      <c r="AN44" s="985" t="str">
        <f t="shared" si="14"/>
        <v/>
      </c>
      <c r="AO44" s="985" t="str">
        <f t="shared" si="15"/>
        <v/>
      </c>
      <c r="AP44" s="985"/>
      <c r="AQ44" s="1027"/>
      <c r="AR44" s="1027"/>
      <c r="AS44" s="1027"/>
      <c r="AT44" s="1027"/>
      <c r="AU44" s="1027"/>
      <c r="AV44" s="1027"/>
      <c r="AW44" s="1027"/>
      <c r="AX44" s="1027"/>
      <c r="AY44" s="1022"/>
      <c r="AZ44" s="1029"/>
    </row>
    <row r="45" spans="1:56" x14ac:dyDescent="0.25">
      <c r="A45" s="1002" t="s">
        <v>194</v>
      </c>
      <c r="B45" s="1003" t="s">
        <v>175</v>
      </c>
      <c r="C45" s="1018" t="s">
        <v>193</v>
      </c>
      <c r="D45" s="1003"/>
      <c r="E45" s="1014"/>
      <c r="F45" s="1014"/>
      <c r="G45" s="1003"/>
      <c r="H45" s="1003" t="s">
        <v>638</v>
      </c>
      <c r="I45" s="1003"/>
      <c r="J45" s="1003" t="s">
        <v>638</v>
      </c>
      <c r="K45" s="1003" t="s">
        <v>638</v>
      </c>
      <c r="L45" s="1003" t="s">
        <v>588</v>
      </c>
      <c r="M45" s="1003">
        <v>1990</v>
      </c>
      <c r="N45" s="1014">
        <f>$V45</f>
        <v>60.840740140000001</v>
      </c>
      <c r="O45" s="1014"/>
      <c r="P45" s="1003"/>
      <c r="Q45" s="1003" t="s">
        <v>580</v>
      </c>
      <c r="R45" s="1003"/>
      <c r="S45" s="1003"/>
      <c r="T45" s="1014"/>
      <c r="U45" s="1014"/>
      <c r="V45" s="1014">
        <v>60.840740140000001</v>
      </c>
      <c r="W45" s="1009"/>
      <c r="X45" s="1009">
        <f>$AA45</f>
        <v>60.840699999999998</v>
      </c>
      <c r="Y45" s="1003" t="s">
        <v>580</v>
      </c>
      <c r="Z45" s="1014"/>
      <c r="AA45" s="1014">
        <v>60.840699999999998</v>
      </c>
      <c r="AB45" s="1003"/>
      <c r="AC45" s="1003"/>
      <c r="AD45" s="1003"/>
      <c r="AE45" s="1012">
        <f t="shared" ref="AE45:AE51" si="16">IF(AA45="","&lt;0.1%",IF(AA45/$AA$81&lt;0.001,"&lt;0.1%",AA45/$AA$81))</f>
        <v>1.3684862423996393E-3</v>
      </c>
      <c r="AF45" s="1012"/>
      <c r="AG45" s="1012"/>
      <c r="AH45" s="1005">
        <v>2030</v>
      </c>
      <c r="AI45" s="1003"/>
      <c r="AJ45" s="1013">
        <f t="shared" si="11"/>
        <v>0.65000042884121989</v>
      </c>
      <c r="AK45" s="1013">
        <f t="shared" si="13"/>
        <v>0.65000042884121989</v>
      </c>
      <c r="AL45" s="1013" t="str">
        <f t="shared" si="12"/>
        <v/>
      </c>
      <c r="AM45" s="1013"/>
      <c r="AN45" s="1014">
        <f t="shared" si="14"/>
        <v>39.546481091000004</v>
      </c>
      <c r="AO45" s="1010">
        <f t="shared" si="15"/>
        <v>39.546481091000004</v>
      </c>
      <c r="AP45" s="1014"/>
      <c r="AQ45" s="1019"/>
      <c r="AR45" s="1019"/>
      <c r="AS45" s="1019"/>
      <c r="AT45" s="1019"/>
      <c r="AU45" s="1019"/>
      <c r="AV45" s="1019"/>
      <c r="AW45" s="1019"/>
      <c r="AX45" s="1019"/>
      <c r="AY45" s="1003"/>
      <c r="AZ45" s="1056"/>
    </row>
    <row r="46" spans="1:56" ht="15" customHeight="1" x14ac:dyDescent="0.25">
      <c r="A46" s="992" t="s">
        <v>192</v>
      </c>
      <c r="B46" s="993" t="s">
        <v>175</v>
      </c>
      <c r="C46" s="994" t="s">
        <v>191</v>
      </c>
      <c r="D46" s="993"/>
      <c r="E46" s="995"/>
      <c r="F46" s="995"/>
      <c r="G46" s="993"/>
      <c r="H46" s="993" t="s">
        <v>602</v>
      </c>
      <c r="I46" s="993"/>
      <c r="J46" s="993" t="s">
        <v>602</v>
      </c>
      <c r="K46" s="993" t="s">
        <v>602</v>
      </c>
      <c r="L46" s="993" t="s">
        <v>588</v>
      </c>
      <c r="M46" s="993">
        <v>1990</v>
      </c>
      <c r="N46" s="995">
        <v>110.57679287617741</v>
      </c>
      <c r="O46" s="995"/>
      <c r="P46" s="993"/>
      <c r="Q46" s="993" t="s">
        <v>587</v>
      </c>
      <c r="R46" s="993"/>
      <c r="S46" s="993"/>
      <c r="T46" s="995">
        <v>110.57679287617741</v>
      </c>
      <c r="U46" s="995"/>
      <c r="V46" s="995">
        <v>68.934477049999998</v>
      </c>
      <c r="W46" s="996"/>
      <c r="X46" s="996">
        <v>59.246721567006929</v>
      </c>
      <c r="Y46" s="993" t="s">
        <v>587</v>
      </c>
      <c r="Z46" s="995">
        <v>59.246721567006929</v>
      </c>
      <c r="AA46" s="995">
        <v>68.9345</v>
      </c>
      <c r="AB46" s="993"/>
      <c r="AC46" s="993"/>
      <c r="AD46" s="993"/>
      <c r="AE46" s="997">
        <f t="shared" si="16"/>
        <v>1.5505396038621834E-3</v>
      </c>
      <c r="AF46" s="997"/>
      <c r="AG46" s="997"/>
      <c r="AH46" s="998">
        <v>2030</v>
      </c>
      <c r="AI46" s="993"/>
      <c r="AJ46" s="999">
        <f t="shared" si="11"/>
        <v>1.3437923443713984</v>
      </c>
      <c r="AK46" s="999">
        <f t="shared" si="13"/>
        <v>1.3437923443713984</v>
      </c>
      <c r="AL46" s="999" t="str">
        <f t="shared" si="12"/>
        <v/>
      </c>
      <c r="AM46" s="999"/>
      <c r="AN46" s="995">
        <f t="shared" si="14"/>
        <v>79.61529087084773</v>
      </c>
      <c r="AO46" s="1000">
        <f t="shared" si="15"/>
        <v>79.61529087084773</v>
      </c>
      <c r="AP46" s="995"/>
      <c r="AQ46" s="1017"/>
      <c r="AR46" s="1017"/>
      <c r="AS46" s="1017"/>
      <c r="AT46" s="1017"/>
      <c r="AU46" s="1017"/>
      <c r="AV46" s="1017"/>
      <c r="AW46" s="1017"/>
      <c r="AX46" s="1017"/>
      <c r="AY46" s="993"/>
      <c r="AZ46" s="1020"/>
    </row>
    <row r="47" spans="1:56" x14ac:dyDescent="0.25">
      <c r="A47" s="1002" t="s">
        <v>188</v>
      </c>
      <c r="B47" s="1003" t="s">
        <v>175</v>
      </c>
      <c r="C47" s="1018" t="s">
        <v>187</v>
      </c>
      <c r="D47" s="1003" t="s">
        <v>582</v>
      </c>
      <c r="E47" s="1014"/>
      <c r="F47" s="1014"/>
      <c r="G47" s="1003" t="s">
        <v>583</v>
      </c>
      <c r="H47" s="1003" t="s">
        <v>604</v>
      </c>
      <c r="I47" s="1003" t="s">
        <v>611</v>
      </c>
      <c r="J47" s="1003" t="s">
        <v>604</v>
      </c>
      <c r="K47" s="1003" t="s">
        <v>611</v>
      </c>
      <c r="L47" s="1003" t="s">
        <v>588</v>
      </c>
      <c r="M47" s="1003">
        <v>1990</v>
      </c>
      <c r="N47" s="1014">
        <f>$V47</f>
        <v>283.2261575</v>
      </c>
      <c r="O47" s="1014"/>
      <c r="P47" s="1003"/>
      <c r="Q47" s="1003" t="s">
        <v>580</v>
      </c>
      <c r="R47" s="1003"/>
      <c r="S47" s="1003"/>
      <c r="T47" s="1014"/>
      <c r="U47" s="1014"/>
      <c r="V47" s="1014">
        <v>283.2261575</v>
      </c>
      <c r="W47" s="1009"/>
      <c r="X47" s="1009">
        <v>266.72437111011646</v>
      </c>
      <c r="Y47" s="1003" t="s">
        <v>587</v>
      </c>
      <c r="Z47" s="1014">
        <v>266.72437111011646</v>
      </c>
      <c r="AA47" s="1014">
        <v>283.22620000000001</v>
      </c>
      <c r="AB47" s="1003"/>
      <c r="AC47" s="1003"/>
      <c r="AD47" s="1003"/>
      <c r="AE47" s="1012">
        <f t="shared" si="16"/>
        <v>6.3705900521711413E-3</v>
      </c>
      <c r="AF47" s="1012"/>
      <c r="AG47" s="1012"/>
      <c r="AH47" s="1005">
        <v>2030</v>
      </c>
      <c r="AI47" s="1003"/>
      <c r="AJ47" s="1013">
        <f t="shared" si="11"/>
        <v>0.90258806449902618</v>
      </c>
      <c r="AK47" s="1013">
        <f t="shared" si="13"/>
        <v>0.79640123338149371</v>
      </c>
      <c r="AL47" s="1013" t="str">
        <f t="shared" si="12"/>
        <v/>
      </c>
      <c r="AM47" s="1013"/>
      <c r="AN47" s="1014">
        <f t="shared" si="14"/>
        <v>240.74223387499998</v>
      </c>
      <c r="AO47" s="1010">
        <f t="shared" si="15"/>
        <v>212.419618125</v>
      </c>
      <c r="AP47" s="1014"/>
      <c r="AQ47" s="1019"/>
      <c r="AR47" s="1019"/>
      <c r="AS47" s="1019"/>
      <c r="AT47" s="1019"/>
      <c r="AU47" s="1019"/>
      <c r="AV47" s="1019"/>
      <c r="AW47" s="1019"/>
      <c r="AX47" s="1019"/>
      <c r="AY47" s="1003"/>
      <c r="AZ47" s="1003"/>
    </row>
    <row r="48" spans="1:56" x14ac:dyDescent="0.25">
      <c r="A48" s="992" t="s">
        <v>184</v>
      </c>
      <c r="B48" s="993" t="s">
        <v>175</v>
      </c>
      <c r="C48" s="994" t="s">
        <v>183</v>
      </c>
      <c r="D48" s="993"/>
      <c r="E48" s="995"/>
      <c r="F48" s="995"/>
      <c r="G48" s="993"/>
      <c r="H48" s="993" t="s">
        <v>648</v>
      </c>
      <c r="I48" s="993" t="s">
        <v>649</v>
      </c>
      <c r="J48" s="993" t="s">
        <v>648</v>
      </c>
      <c r="K48" s="993" t="s">
        <v>649</v>
      </c>
      <c r="L48" s="993" t="s">
        <v>588</v>
      </c>
      <c r="M48" s="993">
        <v>1990</v>
      </c>
      <c r="N48" s="995">
        <f>$V48</f>
        <v>11.562135209999999</v>
      </c>
      <c r="O48" s="995"/>
      <c r="P48" s="993"/>
      <c r="Q48" s="993" t="s">
        <v>580</v>
      </c>
      <c r="R48" s="993"/>
      <c r="S48" s="993"/>
      <c r="T48" s="995"/>
      <c r="U48" s="995"/>
      <c r="V48" s="995">
        <v>11.562135209999999</v>
      </c>
      <c r="W48" s="996"/>
      <c r="X48" s="996">
        <f>$AA48</f>
        <v>11.562099999999999</v>
      </c>
      <c r="Y48" s="993" t="s">
        <v>580</v>
      </c>
      <c r="Z48" s="995"/>
      <c r="AA48" s="995">
        <v>11.562099999999999</v>
      </c>
      <c r="AB48" s="993"/>
      <c r="AC48" s="993"/>
      <c r="AD48" s="993"/>
      <c r="AE48" s="997" t="str">
        <f t="shared" si="16"/>
        <v>&lt;0.1%</v>
      </c>
      <c r="AF48" s="997"/>
      <c r="AG48" s="997"/>
      <c r="AH48" s="998">
        <v>2030</v>
      </c>
      <c r="AI48" s="993"/>
      <c r="AJ48" s="999">
        <f t="shared" si="11"/>
        <v>0.36000109630603438</v>
      </c>
      <c r="AK48" s="999">
        <f t="shared" si="13"/>
        <v>0.33000100494719814</v>
      </c>
      <c r="AL48" s="999" t="str">
        <f t="shared" si="12"/>
        <v/>
      </c>
      <c r="AM48" s="999"/>
      <c r="AN48" s="995">
        <f t="shared" si="14"/>
        <v>4.1623686755999998</v>
      </c>
      <c r="AO48" s="1000">
        <f t="shared" si="15"/>
        <v>3.8155046192999991</v>
      </c>
      <c r="AP48" s="995"/>
      <c r="AQ48" s="1017"/>
      <c r="AR48" s="1017"/>
      <c r="AS48" s="1017"/>
      <c r="AT48" s="1017"/>
      <c r="AU48" s="1017"/>
      <c r="AV48" s="1017"/>
      <c r="AW48" s="1017"/>
      <c r="AX48" s="1017"/>
      <c r="AY48" s="993"/>
      <c r="AZ48" s="993"/>
    </row>
    <row r="49" spans="1:55" x14ac:dyDescent="0.25">
      <c r="A49" s="1002" t="s">
        <v>182</v>
      </c>
      <c r="B49" s="1003" t="s">
        <v>175</v>
      </c>
      <c r="C49" s="1004" t="s">
        <v>181</v>
      </c>
      <c r="D49" s="1003" t="s">
        <v>582</v>
      </c>
      <c r="E49" s="1014" t="s">
        <v>687</v>
      </c>
      <c r="F49" s="1010" t="s">
        <v>1641</v>
      </c>
      <c r="G49" s="1003" t="s">
        <v>583</v>
      </c>
      <c r="H49" s="1003" t="s">
        <v>611</v>
      </c>
      <c r="I49" s="1003" t="s">
        <v>590</v>
      </c>
      <c r="J49" s="1003" t="s">
        <v>611</v>
      </c>
      <c r="K49" s="1003" t="s">
        <v>590</v>
      </c>
      <c r="L49" s="1003" t="s">
        <v>588</v>
      </c>
      <c r="M49" s="1003">
        <v>1990</v>
      </c>
      <c r="N49" s="1014">
        <v>3532.3524970950411</v>
      </c>
      <c r="O49" s="1044">
        <f>$U49</f>
        <v>3367.7814800000001</v>
      </c>
      <c r="P49" s="1008" t="s">
        <v>686</v>
      </c>
      <c r="Q49" s="1008" t="s">
        <v>587</v>
      </c>
      <c r="R49" s="1008"/>
      <c r="S49" s="1008"/>
      <c r="T49" s="1010">
        <v>3532.3524970950411</v>
      </c>
      <c r="U49" s="1010">
        <v>3367.7814800000001</v>
      </c>
      <c r="V49" s="1010">
        <v>2090.2250140000001</v>
      </c>
      <c r="W49" s="1011">
        <f>'History GHG emissions G20'!C50*10^-3</f>
        <v>2311.2065877999999</v>
      </c>
      <c r="X49" s="1011">
        <f>'History GHG emissions G20'!E50*10^-3</f>
        <v>2226.9782574999999</v>
      </c>
      <c r="Y49" s="1008" t="s">
        <v>2088</v>
      </c>
      <c r="Z49" s="1014">
        <v>1656.2593570129611</v>
      </c>
      <c r="AA49" s="1014">
        <v>2090.2249999999999</v>
      </c>
      <c r="AB49" s="1003"/>
      <c r="AC49" s="1011">
        <f>'History GHG emissions G20'!J50*10^-3</f>
        <v>22.606587800000003</v>
      </c>
      <c r="AD49" s="1011">
        <f>'History GHG emissions G20'!N50*10^-3</f>
        <v>-143.02174249999999</v>
      </c>
      <c r="AE49" s="1012">
        <f t="shared" si="16"/>
        <v>4.701530646458351E-2</v>
      </c>
      <c r="AF49" s="1012"/>
      <c r="AG49" s="1012"/>
      <c r="AH49" s="1005">
        <v>2030</v>
      </c>
      <c r="AI49" s="1003"/>
      <c r="AJ49" s="1013">
        <f t="shared" si="11"/>
        <v>1.1896229179153899</v>
      </c>
      <c r="AK49" s="1013">
        <f t="shared" si="13"/>
        <v>1.1103147233876973</v>
      </c>
      <c r="AL49" s="1013" t="str">
        <f t="shared" si="12"/>
        <v/>
      </c>
      <c r="AM49" s="1013"/>
      <c r="AN49" s="1014">
        <f t="shared" si="14"/>
        <v>2649.2643728212806</v>
      </c>
      <c r="AO49" s="1014">
        <f t="shared" si="15"/>
        <v>2472.6467479665284</v>
      </c>
      <c r="AP49" s="1014"/>
      <c r="AQ49" s="1015">
        <v>-468.15547220634869</v>
      </c>
      <c r="AR49" s="1015">
        <f>$AQ49</f>
        <v>-468.15547220634869</v>
      </c>
      <c r="AS49" s="1016">
        <f>$AW49/$W49</f>
        <v>1.020007059708157</v>
      </c>
      <c r="AT49" s="1083">
        <f>$AX49/($W49-$AC49)</f>
        <v>1.2346423613590618</v>
      </c>
      <c r="AU49" s="1016">
        <f>$AW49/$X49</f>
        <v>1.0585855645696622</v>
      </c>
      <c r="AV49" s="1083">
        <f>$AX49/($X49-$AD49)</f>
        <v>1.1922373452347463</v>
      </c>
      <c r="AW49" s="1011">
        <f>$AX49+$AQ49</f>
        <v>2357.447036</v>
      </c>
      <c r="AX49" s="1011">
        <f>$O49*(1+$K49)-$AR49</f>
        <v>2825.6025082063488</v>
      </c>
      <c r="AY49" s="1003"/>
      <c r="AZ49" s="1003"/>
      <c r="BA49" s="534" t="s">
        <v>1671</v>
      </c>
      <c r="BC49" s="534" t="s">
        <v>1649</v>
      </c>
    </row>
    <row r="50" spans="1:55" x14ac:dyDescent="0.25">
      <c r="A50" s="992" t="s">
        <v>180</v>
      </c>
      <c r="B50" s="993" t="s">
        <v>175</v>
      </c>
      <c r="C50" s="994" t="s">
        <v>179</v>
      </c>
      <c r="D50" s="993"/>
      <c r="E50" s="995"/>
      <c r="F50" s="995"/>
      <c r="G50" s="993"/>
      <c r="H50" s="993" t="s">
        <v>650</v>
      </c>
      <c r="I50" s="993" t="s">
        <v>651</v>
      </c>
      <c r="J50" s="993" t="s">
        <v>594</v>
      </c>
      <c r="K50" s="993" t="s">
        <v>638</v>
      </c>
      <c r="L50" s="993" t="s">
        <v>588</v>
      </c>
      <c r="M50" s="993">
        <v>1990</v>
      </c>
      <c r="N50" s="995">
        <f>$V50</f>
        <v>8.3114061239999995</v>
      </c>
      <c r="O50" s="995"/>
      <c r="P50" s="993"/>
      <c r="Q50" s="993" t="s">
        <v>580</v>
      </c>
      <c r="R50" s="993"/>
      <c r="S50" s="993"/>
      <c r="T50" s="995"/>
      <c r="U50" s="995"/>
      <c r="V50" s="995">
        <v>8.3114061239999995</v>
      </c>
      <c r="W50" s="996"/>
      <c r="X50" s="996">
        <f>$AA50</f>
        <v>8.3114000000000008</v>
      </c>
      <c r="Y50" s="993" t="s">
        <v>580</v>
      </c>
      <c r="Z50" s="995"/>
      <c r="AA50" s="995">
        <v>8.3114000000000008</v>
      </c>
      <c r="AB50" s="993"/>
      <c r="AC50" s="993"/>
      <c r="AD50" s="993"/>
      <c r="AE50" s="997" t="str">
        <f t="shared" si="16"/>
        <v>&lt;0.1%</v>
      </c>
      <c r="AF50" s="997"/>
      <c r="AG50" s="997"/>
      <c r="AH50" s="998">
        <v>2030</v>
      </c>
      <c r="AI50" s="993"/>
      <c r="AJ50" s="999">
        <f t="shared" si="11"/>
        <v>0.90000066313737748</v>
      </c>
      <c r="AK50" s="999">
        <f t="shared" si="13"/>
        <v>0.65000047893255031</v>
      </c>
      <c r="AL50" s="999" t="str">
        <f t="shared" si="12"/>
        <v/>
      </c>
      <c r="AM50" s="999"/>
      <c r="AN50" s="995">
        <f t="shared" si="14"/>
        <v>7.4802655115999999</v>
      </c>
      <c r="AO50" s="1000">
        <f t="shared" si="15"/>
        <v>5.4024139805999996</v>
      </c>
      <c r="AP50" s="995"/>
      <c r="AQ50" s="1017"/>
      <c r="AR50" s="1017"/>
      <c r="AS50" s="1017"/>
      <c r="AT50" s="1017"/>
      <c r="AU50" s="1017"/>
      <c r="AV50" s="1017"/>
      <c r="AW50" s="1017"/>
      <c r="AX50" s="1017"/>
      <c r="AY50" s="993"/>
      <c r="AZ50" s="993"/>
    </row>
    <row r="51" spans="1:55" x14ac:dyDescent="0.25">
      <c r="A51" s="1002" t="s">
        <v>176</v>
      </c>
      <c r="B51" s="1003" t="s">
        <v>175</v>
      </c>
      <c r="C51" s="1018" t="s">
        <v>174</v>
      </c>
      <c r="D51" s="1003" t="s">
        <v>582</v>
      </c>
      <c r="E51" s="1014"/>
      <c r="F51" s="1014"/>
      <c r="G51" s="1003" t="s">
        <v>596</v>
      </c>
      <c r="H51" s="1003" t="s">
        <v>585</v>
      </c>
      <c r="I51" s="1003"/>
      <c r="J51" s="1003" t="s">
        <v>585</v>
      </c>
      <c r="K51" s="1003" t="s">
        <v>585</v>
      </c>
      <c r="L51" s="1003" t="s">
        <v>588</v>
      </c>
      <c r="M51" s="1003">
        <v>1990</v>
      </c>
      <c r="N51" s="1014">
        <f>$R51</f>
        <v>874.6</v>
      </c>
      <c r="O51" s="1014"/>
      <c r="P51" s="1003"/>
      <c r="Q51" s="1003" t="s">
        <v>2513</v>
      </c>
      <c r="R51" s="1003">
        <v>874.6</v>
      </c>
      <c r="S51" s="1003"/>
      <c r="T51" s="1014">
        <v>874.61554038824772</v>
      </c>
      <c r="U51" s="1014"/>
      <c r="V51" s="1014">
        <v>379.04838439999997</v>
      </c>
      <c r="W51" s="1009"/>
      <c r="X51" s="1009">
        <v>350.06949938253814</v>
      </c>
      <c r="Y51" s="1003" t="s">
        <v>587</v>
      </c>
      <c r="Z51" s="1014">
        <v>350.06949938253814</v>
      </c>
      <c r="AA51" s="1014">
        <v>355.3193</v>
      </c>
      <c r="AB51" s="1003"/>
      <c r="AC51" s="1003"/>
      <c r="AD51" s="1003"/>
      <c r="AE51" s="1012">
        <f t="shared" si="16"/>
        <v>7.9921758577575566E-3</v>
      </c>
      <c r="AF51" s="1012"/>
      <c r="AG51" s="1012"/>
      <c r="AH51" s="1005">
        <v>2030</v>
      </c>
      <c r="AI51" s="1003"/>
      <c r="AJ51" s="1013">
        <f t="shared" si="11"/>
        <v>1.4990166264858424</v>
      </c>
      <c r="AK51" s="1013">
        <f t="shared" si="13"/>
        <v>1.4990166264858424</v>
      </c>
      <c r="AL51" s="1013" t="str">
        <f t="shared" si="12"/>
        <v/>
      </c>
      <c r="AM51" s="1013"/>
      <c r="AN51" s="1014">
        <f t="shared" si="14"/>
        <v>524.76</v>
      </c>
      <c r="AO51" s="1010">
        <f t="shared" si="15"/>
        <v>524.76</v>
      </c>
      <c r="AP51" s="1014"/>
      <c r="AQ51" s="1019"/>
      <c r="AR51" s="1019"/>
      <c r="AS51" s="1019"/>
      <c r="AT51" s="1019"/>
      <c r="AU51" s="1019"/>
      <c r="AV51" s="1019"/>
      <c r="AW51" s="1019"/>
      <c r="AX51" s="1019"/>
      <c r="AY51" s="1003" t="s">
        <v>652</v>
      </c>
      <c r="AZ51" s="1003"/>
    </row>
    <row r="52" spans="1:55" s="19" customFormat="1" x14ac:dyDescent="0.25">
      <c r="A52" s="1021"/>
      <c r="B52" s="982" t="s">
        <v>173</v>
      </c>
      <c r="C52" s="983"/>
      <c r="D52" s="1022"/>
      <c r="E52" s="985"/>
      <c r="F52" s="985"/>
      <c r="G52" s="1022"/>
      <c r="H52" s="1022"/>
      <c r="I52" s="1022"/>
      <c r="J52" s="1022"/>
      <c r="K52" s="1022"/>
      <c r="L52" s="1022"/>
      <c r="M52" s="1022"/>
      <c r="N52" s="985"/>
      <c r="O52" s="985"/>
      <c r="P52" s="1022"/>
      <c r="Q52" s="1022"/>
      <c r="R52" s="1022"/>
      <c r="S52" s="1022"/>
      <c r="T52" s="985"/>
      <c r="U52" s="985"/>
      <c r="V52" s="985" t="s">
        <v>2401</v>
      </c>
      <c r="W52" s="1023"/>
      <c r="X52" s="1023"/>
      <c r="Y52" s="1022"/>
      <c r="Z52" s="985"/>
      <c r="AA52" s="985" t="s">
        <v>2401</v>
      </c>
      <c r="AB52" s="1022"/>
      <c r="AC52" s="1022"/>
      <c r="AD52" s="1022"/>
      <c r="AE52" s="1024"/>
      <c r="AF52" s="1024"/>
      <c r="AG52" s="1024"/>
      <c r="AH52" s="1025"/>
      <c r="AI52" s="1022"/>
      <c r="AJ52" s="1026" t="str">
        <f t="shared" si="11"/>
        <v/>
      </c>
      <c r="AK52" s="984" t="str">
        <f t="shared" si="13"/>
        <v/>
      </c>
      <c r="AL52" s="988" t="str">
        <f t="shared" si="12"/>
        <v/>
      </c>
      <c r="AM52" s="988"/>
      <c r="AN52" s="985" t="str">
        <f t="shared" si="14"/>
        <v/>
      </c>
      <c r="AO52" s="985" t="str">
        <f t="shared" si="15"/>
        <v/>
      </c>
      <c r="AP52" s="985"/>
      <c r="AQ52" s="1027"/>
      <c r="AR52" s="1027"/>
      <c r="AS52" s="1027"/>
      <c r="AT52" s="1027"/>
      <c r="AU52" s="1027"/>
      <c r="AV52" s="1027"/>
      <c r="AW52" s="1027"/>
      <c r="AX52" s="1027"/>
      <c r="AY52" s="1022"/>
      <c r="AZ52" s="1029"/>
    </row>
    <row r="53" spans="1:55" x14ac:dyDescent="0.25">
      <c r="A53" s="1002" t="s">
        <v>172</v>
      </c>
      <c r="B53" s="1003" t="s">
        <v>161</v>
      </c>
      <c r="C53" s="1018" t="s">
        <v>1740</v>
      </c>
      <c r="D53" s="1003" t="s">
        <v>582</v>
      </c>
      <c r="E53" s="1014"/>
      <c r="F53" s="1014"/>
      <c r="G53" s="1003" t="s">
        <v>583</v>
      </c>
      <c r="H53" s="1053">
        <v>-0.04</v>
      </c>
      <c r="I53" s="1053">
        <v>-0.12</v>
      </c>
      <c r="J53" s="1053">
        <v>-0.04</v>
      </c>
      <c r="K53" s="1053">
        <v>-0.12</v>
      </c>
      <c r="L53" s="1003" t="s">
        <v>579</v>
      </c>
      <c r="M53" s="1003">
        <v>2030</v>
      </c>
      <c r="N53" s="1055">
        <v>820.29593750000004</v>
      </c>
      <c r="O53" s="1055"/>
      <c r="P53" s="1003"/>
      <c r="Q53" s="1003" t="s">
        <v>653</v>
      </c>
      <c r="R53" s="1003"/>
      <c r="S53" s="1003"/>
      <c r="T53" s="1003"/>
      <c r="U53" s="1003"/>
      <c r="V53" s="1003"/>
      <c r="W53" s="1009"/>
      <c r="X53" s="1009">
        <f>$AA53</f>
        <v>683.67729999999995</v>
      </c>
      <c r="Y53" s="1003" t="s">
        <v>580</v>
      </c>
      <c r="Z53" s="1003"/>
      <c r="AA53" s="1014">
        <v>683.67729999999995</v>
      </c>
      <c r="AB53" s="1003"/>
      <c r="AC53" s="1003"/>
      <c r="AD53" s="1003"/>
      <c r="AE53" s="1012">
        <f t="shared" ref="AE53:AE58" si="17">IF(AA53="","&lt;0.1%",IF(AA53/$AA$81&lt;0.001,"&lt;0.1%",AA53/$AA$81))</f>
        <v>1.5377912799999522E-2</v>
      </c>
      <c r="AF53" s="1003"/>
      <c r="AG53" s="1003"/>
      <c r="AH53" s="1005">
        <v>2030</v>
      </c>
      <c r="AI53" s="1003"/>
      <c r="AJ53" s="1013">
        <f t="shared" si="11"/>
        <v>1.1518359612056741</v>
      </c>
      <c r="AK53" s="1013">
        <f t="shared" si="13"/>
        <v>1.0558496311052015</v>
      </c>
      <c r="AL53" s="1053" t="str">
        <f t="shared" si="12"/>
        <v/>
      </c>
      <c r="AM53" s="1053"/>
      <c r="AN53" s="1014">
        <f t="shared" si="14"/>
        <v>787.48410000000001</v>
      </c>
      <c r="AO53" s="1010">
        <f t="shared" si="15"/>
        <v>721.86042500000008</v>
      </c>
      <c r="AP53" s="1014"/>
      <c r="AQ53" s="1019"/>
      <c r="AR53" s="1019"/>
      <c r="AS53" s="1019"/>
      <c r="AT53" s="1019"/>
      <c r="AU53" s="1019"/>
      <c r="AV53" s="1019"/>
      <c r="AW53" s="1019"/>
      <c r="AX53" s="1019"/>
      <c r="AY53" s="1003"/>
      <c r="AZ53" s="1056"/>
    </row>
    <row r="54" spans="1:55" x14ac:dyDescent="0.25">
      <c r="A54" s="992" t="s">
        <v>171</v>
      </c>
      <c r="B54" s="993" t="s">
        <v>161</v>
      </c>
      <c r="C54" s="994" t="s">
        <v>327</v>
      </c>
      <c r="D54" s="993"/>
      <c r="E54" s="995"/>
      <c r="F54" s="995"/>
      <c r="G54" s="993"/>
      <c r="H54" s="1062">
        <v>-0.01</v>
      </c>
      <c r="I54" s="1062">
        <v>-0.14000000000000001</v>
      </c>
      <c r="J54" s="1062">
        <v>-0.01</v>
      </c>
      <c r="K54" s="1062">
        <v>-0.14000000000000001</v>
      </c>
      <c r="L54" s="993" t="s">
        <v>579</v>
      </c>
      <c r="M54" s="993">
        <v>2030</v>
      </c>
      <c r="N54" s="993">
        <f>$R54</f>
        <v>305</v>
      </c>
      <c r="O54" s="1050"/>
      <c r="P54" s="993"/>
      <c r="Q54" s="993" t="s">
        <v>2513</v>
      </c>
      <c r="R54" s="993">
        <v>305</v>
      </c>
      <c r="S54" s="993"/>
      <c r="T54" s="993"/>
      <c r="U54" s="993"/>
      <c r="V54" s="993"/>
      <c r="W54" s="996"/>
      <c r="X54" s="996">
        <f>$AA54</f>
        <v>227.20930000000001</v>
      </c>
      <c r="Y54" s="993" t="s">
        <v>580</v>
      </c>
      <c r="Z54" s="993"/>
      <c r="AA54" s="995">
        <v>227.20930000000001</v>
      </c>
      <c r="AB54" s="993"/>
      <c r="AC54" s="993"/>
      <c r="AD54" s="993"/>
      <c r="AE54" s="997">
        <f t="shared" si="17"/>
        <v>5.1106052559430184E-3</v>
      </c>
      <c r="AF54" s="993"/>
      <c r="AG54" s="993"/>
      <c r="AH54" s="998">
        <v>2030</v>
      </c>
      <c r="AI54" s="993">
        <f>$N54</f>
        <v>305</v>
      </c>
      <c r="AJ54" s="999">
        <f t="shared" si="11"/>
        <v>1.3289508836125985</v>
      </c>
      <c r="AK54" s="999">
        <f t="shared" si="13"/>
        <v>1.1544421817240755</v>
      </c>
      <c r="AL54" s="999" t="str">
        <f t="shared" si="12"/>
        <v/>
      </c>
      <c r="AM54" s="999"/>
      <c r="AN54" s="995">
        <f t="shared" si="14"/>
        <v>301.95</v>
      </c>
      <c r="AO54" s="1000">
        <f t="shared" si="15"/>
        <v>262.3</v>
      </c>
      <c r="AP54" s="995"/>
      <c r="AQ54" s="1017"/>
      <c r="AR54" s="1017"/>
      <c r="AS54" s="1017"/>
      <c r="AT54" s="1017"/>
      <c r="AU54" s="1017"/>
      <c r="AV54" s="1017"/>
      <c r="AW54" s="1017"/>
      <c r="AX54" s="1017"/>
      <c r="AY54" s="993" t="s">
        <v>654</v>
      </c>
      <c r="AZ54" s="1020"/>
    </row>
    <row r="55" spans="1:55" s="282" customFormat="1" x14ac:dyDescent="0.25">
      <c r="A55" s="1002" t="s">
        <v>170</v>
      </c>
      <c r="B55" s="1003" t="s">
        <v>161</v>
      </c>
      <c r="C55" s="1018" t="s">
        <v>169</v>
      </c>
      <c r="D55" s="1003"/>
      <c r="E55" s="1014"/>
      <c r="F55" s="1014"/>
      <c r="G55" s="1003"/>
      <c r="H55" s="1003"/>
      <c r="I55" s="1003"/>
      <c r="J55" s="1003" t="s">
        <v>655</v>
      </c>
      <c r="K55" s="1003" t="s">
        <v>655</v>
      </c>
      <c r="L55" s="1003" t="s">
        <v>656</v>
      </c>
      <c r="M55" s="1003">
        <v>2030</v>
      </c>
      <c r="N55" s="1014"/>
      <c r="O55" s="1014"/>
      <c r="P55" s="1003"/>
      <c r="Q55" s="1003"/>
      <c r="R55" s="1003"/>
      <c r="S55" s="1003"/>
      <c r="T55" s="1014"/>
      <c r="U55" s="1014"/>
      <c r="V55" s="1014"/>
      <c r="W55" s="1009"/>
      <c r="X55" s="1009">
        <f>$AA55</f>
        <v>86.735200000000006</v>
      </c>
      <c r="Y55" s="1003" t="s">
        <v>580</v>
      </c>
      <c r="Z55" s="1014"/>
      <c r="AA55" s="1014">
        <v>86.735200000000006</v>
      </c>
      <c r="AB55" s="1003"/>
      <c r="AC55" s="1003"/>
      <c r="AD55" s="1003"/>
      <c r="AE55" s="1012">
        <f t="shared" si="17"/>
        <v>1.9509296890367995E-3</v>
      </c>
      <c r="AF55" s="1012"/>
      <c r="AG55" s="1012"/>
      <c r="AH55" s="1005">
        <v>2030</v>
      </c>
      <c r="AI55" s="1003">
        <v>105.5</v>
      </c>
      <c r="AJ55" s="1013"/>
      <c r="AK55" s="1013">
        <f t="shared" si="13"/>
        <v>0.94137097741170828</v>
      </c>
      <c r="AL55" s="1013" t="str">
        <f t="shared" si="12"/>
        <v/>
      </c>
      <c r="AM55" s="1013"/>
      <c r="AN55" s="1014">
        <v>81.650000000000006</v>
      </c>
      <c r="AO55" s="1010">
        <f>$AN55</f>
        <v>81.650000000000006</v>
      </c>
      <c r="AP55" s="1014"/>
      <c r="AQ55" s="1019"/>
      <c r="AR55" s="1019"/>
      <c r="AS55" s="1019"/>
      <c r="AT55" s="1019"/>
      <c r="AU55" s="1019"/>
      <c r="AV55" s="1019"/>
      <c r="AW55" s="1019"/>
      <c r="AX55" s="1019"/>
      <c r="AY55" s="1005" t="s">
        <v>2555</v>
      </c>
      <c r="AZ55" s="1003"/>
    </row>
    <row r="56" spans="1:55" x14ac:dyDescent="0.25">
      <c r="A56" s="992" t="s">
        <v>165</v>
      </c>
      <c r="B56" s="993" t="s">
        <v>161</v>
      </c>
      <c r="C56" s="994" t="s">
        <v>164</v>
      </c>
      <c r="D56" s="993"/>
      <c r="E56" s="995"/>
      <c r="F56" s="995"/>
      <c r="G56" s="993"/>
      <c r="H56" s="993" t="s">
        <v>604</v>
      </c>
      <c r="I56" s="993" t="s">
        <v>590</v>
      </c>
      <c r="J56" s="993" t="s">
        <v>604</v>
      </c>
      <c r="K56" s="993" t="s">
        <v>590</v>
      </c>
      <c r="L56" s="993" t="s">
        <v>579</v>
      </c>
      <c r="M56" s="993">
        <v>2030</v>
      </c>
      <c r="N56" s="995"/>
      <c r="O56" s="995"/>
      <c r="P56" s="993"/>
      <c r="Q56" s="993" t="s">
        <v>2513</v>
      </c>
      <c r="R56" s="993"/>
      <c r="S56" s="993"/>
      <c r="T56" s="995"/>
      <c r="U56" s="995"/>
      <c r="V56" s="995" t="s">
        <v>2401</v>
      </c>
      <c r="W56" s="996"/>
      <c r="X56" s="996">
        <f>$AA56</f>
        <v>23.939499999999999</v>
      </c>
      <c r="Y56" s="993" t="s">
        <v>580</v>
      </c>
      <c r="Z56" s="995"/>
      <c r="AA56" s="995">
        <v>23.939499999999999</v>
      </c>
      <c r="AB56" s="993"/>
      <c r="AC56" s="993"/>
      <c r="AD56" s="993"/>
      <c r="AE56" s="997" t="str">
        <f t="shared" si="17"/>
        <v>&lt;0.1%</v>
      </c>
      <c r="AF56" s="997"/>
      <c r="AG56" s="997"/>
      <c r="AH56" s="998">
        <v>2030</v>
      </c>
      <c r="AI56" s="993"/>
      <c r="AJ56" s="999">
        <f t="shared" ref="AJ56:AJ81" si="18">IF($AN56="","",$AN56/$X56)</f>
        <v>1.5246767894066293</v>
      </c>
      <c r="AK56" s="999">
        <f t="shared" si="13"/>
        <v>1.25315900499175</v>
      </c>
      <c r="AL56" s="999" t="str">
        <f t="shared" si="12"/>
        <v/>
      </c>
      <c r="AM56" s="999"/>
      <c r="AN56" s="995">
        <v>36.5</v>
      </c>
      <c r="AO56" s="1000">
        <v>30</v>
      </c>
      <c r="AP56" s="995"/>
      <c r="AQ56" s="1017"/>
      <c r="AR56" s="1017"/>
      <c r="AS56" s="1017"/>
      <c r="AT56" s="1017"/>
      <c r="AU56" s="1017"/>
      <c r="AV56" s="1017"/>
      <c r="AW56" s="1017"/>
      <c r="AX56" s="1017"/>
      <c r="AY56" s="998" t="s">
        <v>2555</v>
      </c>
      <c r="AZ56" s="993"/>
    </row>
    <row r="57" spans="1:55" ht="150" x14ac:dyDescent="0.25">
      <c r="A57" s="1002" t="s">
        <v>163</v>
      </c>
      <c r="B57" s="1003" t="s">
        <v>161</v>
      </c>
      <c r="C57" s="1004" t="s">
        <v>17</v>
      </c>
      <c r="D57" s="1003"/>
      <c r="E57" s="1014" t="s">
        <v>688</v>
      </c>
      <c r="F57" s="1014" t="s">
        <v>493</v>
      </c>
      <c r="G57" s="1003" t="s">
        <v>596</v>
      </c>
      <c r="H57" s="1003"/>
      <c r="I57" s="1003"/>
      <c r="J57" s="1003"/>
      <c r="K57" s="1003"/>
      <c r="L57" s="1003" t="s">
        <v>657</v>
      </c>
      <c r="M57" s="1003">
        <v>2030</v>
      </c>
      <c r="N57" s="1044">
        <f>$O57</f>
        <v>1160</v>
      </c>
      <c r="O57" s="1044">
        <f>'NDC information'!$D$85</f>
        <v>1160</v>
      </c>
      <c r="P57" s="1063" t="s">
        <v>686</v>
      </c>
      <c r="Q57" s="1008" t="s">
        <v>1495</v>
      </c>
      <c r="R57" s="1008"/>
      <c r="S57" s="1008"/>
      <c r="T57" s="1008"/>
      <c r="U57" s="1008"/>
      <c r="V57" s="1008"/>
      <c r="W57" s="1011">
        <f>'History GHG emissions G20'!C58*10^-3</f>
        <v>487</v>
      </c>
      <c r="X57" s="1011">
        <f>'History GHG emissions G20'!E58*10^-3</f>
        <v>634</v>
      </c>
      <c r="Y57" s="1008" t="s">
        <v>2088</v>
      </c>
      <c r="Z57" s="1003"/>
      <c r="AA57" s="1014">
        <v>478.2552</v>
      </c>
      <c r="AB57" s="1003"/>
      <c r="AC57" s="1008">
        <f>'History GHG emissions G20'!J58*10^-3</f>
        <v>0</v>
      </c>
      <c r="AD57" s="1008">
        <f>'History GHG emissions G20'!N58*10^-3</f>
        <v>0</v>
      </c>
      <c r="AE57" s="1012">
        <f t="shared" si="17"/>
        <v>1.0757365736358852E-2</v>
      </c>
      <c r="AF57" s="1003"/>
      <c r="AG57" s="1003"/>
      <c r="AH57" s="1005">
        <v>2030</v>
      </c>
      <c r="AI57" s="1003"/>
      <c r="AJ57" s="1013">
        <f t="shared" si="18"/>
        <v>1.6246056782334384</v>
      </c>
      <c r="AK57" s="1013">
        <f t="shared" si="13"/>
        <v>1.6246056782334384</v>
      </c>
      <c r="AL57" s="1053" t="str">
        <f t="shared" si="12"/>
        <v/>
      </c>
      <c r="AM57" s="1053"/>
      <c r="AN57" s="1008">
        <f>$AO57</f>
        <v>1030</v>
      </c>
      <c r="AO57" s="1044">
        <f>$O57-130</f>
        <v>1030</v>
      </c>
      <c r="AP57" s="1014"/>
      <c r="AQ57" s="1014"/>
      <c r="AR57" s="1015"/>
      <c r="AS57" s="1016"/>
      <c r="AT57" s="1083">
        <f>$AX57/($W57-$AC57)</f>
        <v>2.1149897330595482</v>
      </c>
      <c r="AU57" s="1016"/>
      <c r="AV57" s="1083">
        <f>$AX57/($X57-$AD57)</f>
        <v>1.6246056782334384</v>
      </c>
      <c r="AW57" s="1015"/>
      <c r="AX57" s="1011">
        <f>$O57-130</f>
        <v>1030</v>
      </c>
      <c r="AY57" s="1249" t="s">
        <v>2556</v>
      </c>
      <c r="AZ57" s="1056"/>
      <c r="BA57" s="8"/>
      <c r="BB57" s="534" t="s">
        <v>2561</v>
      </c>
    </row>
    <row r="58" spans="1:55" x14ac:dyDescent="0.25">
      <c r="A58" s="992" t="s">
        <v>162</v>
      </c>
      <c r="B58" s="993" t="s">
        <v>161</v>
      </c>
      <c r="C58" s="1004" t="s">
        <v>21</v>
      </c>
      <c r="D58" s="993" t="s">
        <v>582</v>
      </c>
      <c r="E58" s="993" t="s">
        <v>687</v>
      </c>
      <c r="F58" s="1000" t="s">
        <v>1641</v>
      </c>
      <c r="G58" s="993" t="s">
        <v>583</v>
      </c>
      <c r="H58" s="993" t="s">
        <v>658</v>
      </c>
      <c r="I58" s="993"/>
      <c r="J58" s="993" t="s">
        <v>658</v>
      </c>
      <c r="K58" s="993" t="s">
        <v>658</v>
      </c>
      <c r="L58" s="993" t="s">
        <v>579</v>
      </c>
      <c r="M58" s="993">
        <v>2030</v>
      </c>
      <c r="N58" s="1036">
        <f>'NDC information'!$D$90</f>
        <v>1175</v>
      </c>
      <c r="O58" s="1041">
        <f>$N58-$AD58</f>
        <v>1229.9326765000001</v>
      </c>
      <c r="P58" s="1030" t="s">
        <v>684</v>
      </c>
      <c r="Q58" s="1030" t="s">
        <v>2513</v>
      </c>
      <c r="R58" s="1030">
        <v>1175</v>
      </c>
      <c r="S58" s="1030"/>
      <c r="T58" s="1000"/>
      <c r="U58" s="1000"/>
      <c r="V58" s="1000" t="s">
        <v>2401</v>
      </c>
      <c r="W58" s="1034">
        <f>'History GHG emissions G20'!C59*10^-3</f>
        <v>315.19538069999999</v>
      </c>
      <c r="X58" s="1034">
        <f>'History GHG emissions G20'!E59*10^-3</f>
        <v>365.16732350000001</v>
      </c>
      <c r="Y58" s="1030" t="s">
        <v>2088</v>
      </c>
      <c r="Z58" s="995">
        <v>345.64657264416752</v>
      </c>
      <c r="AA58" s="995">
        <v>349.90809999999999</v>
      </c>
      <c r="AB58" s="993"/>
      <c r="AC58" s="1034">
        <f>'History GHG emissions G20'!J59*10^-3</f>
        <v>-29.9046193</v>
      </c>
      <c r="AD58" s="1034">
        <f>'History GHG emissions G20'!N59*10^-3</f>
        <v>-54.932676499999999</v>
      </c>
      <c r="AE58" s="997">
        <f t="shared" si="17"/>
        <v>7.8704620583622022E-3</v>
      </c>
      <c r="AF58" s="997"/>
      <c r="AG58" s="997"/>
      <c r="AH58" s="998">
        <v>2030</v>
      </c>
      <c r="AI58" s="993"/>
      <c r="AJ58" s="999">
        <f t="shared" si="18"/>
        <v>2.5419853865977138</v>
      </c>
      <c r="AK58" s="999">
        <f t="shared" si="13"/>
        <v>2.5419853865977138</v>
      </c>
      <c r="AL58" s="999" t="str">
        <f t="shared" si="12"/>
        <v/>
      </c>
      <c r="AM58" s="999"/>
      <c r="AN58" s="995">
        <f t="shared" ref="AN58:AN64" si="19">IF($N58="","",$N58*(1+$J58))</f>
        <v>928.25</v>
      </c>
      <c r="AO58" s="995">
        <f t="shared" ref="AO58:AO64" si="20">IF($N58="","",$N58*(1+$K58))</f>
        <v>928.25</v>
      </c>
      <c r="AP58" s="995"/>
      <c r="AQ58" s="1035">
        <f>-10^-3*-58698.97</f>
        <v>58.698970000000003</v>
      </c>
      <c r="AR58" s="1065"/>
      <c r="AS58" s="1037">
        <f>$AW58/$W58</f>
        <v>2.9449987431240299</v>
      </c>
      <c r="AT58" s="1084">
        <f>$AX58/($W58-$AC58)</f>
        <v>2.5197074181396699</v>
      </c>
      <c r="AU58" s="1037">
        <f>$AW58/$X58</f>
        <v>2.5419853865977138</v>
      </c>
      <c r="AV58" s="1084">
        <f>$AX58/($X58-$AD58)</f>
        <v>2.0698667698167101</v>
      </c>
      <c r="AW58" s="1034">
        <f>$N58*(1+$K58)</f>
        <v>928.25</v>
      </c>
      <c r="AX58" s="1034">
        <f>$AW58-$AQ58</f>
        <v>869.55102999999997</v>
      </c>
      <c r="AY58" s="993" t="s">
        <v>2557</v>
      </c>
      <c r="AZ58" s="993"/>
      <c r="BA58" s="8" t="s">
        <v>1659</v>
      </c>
      <c r="BB58" s="534" t="s">
        <v>1660</v>
      </c>
    </row>
    <row r="59" spans="1:55" s="19" customFormat="1" x14ac:dyDescent="0.25">
      <c r="A59" s="1021"/>
      <c r="B59" s="982" t="s">
        <v>57</v>
      </c>
      <c r="C59" s="983"/>
      <c r="D59" s="1022"/>
      <c r="E59" s="985"/>
      <c r="F59" s="985"/>
      <c r="G59" s="1022"/>
      <c r="H59" s="1022"/>
      <c r="I59" s="1022"/>
      <c r="J59" s="1022"/>
      <c r="K59" s="1022"/>
      <c r="L59" s="1022"/>
      <c r="M59" s="1022"/>
      <c r="N59" s="985"/>
      <c r="O59" s="985"/>
      <c r="P59" s="1022"/>
      <c r="Q59" s="1022"/>
      <c r="R59" s="1022"/>
      <c r="S59" s="1022"/>
      <c r="T59" s="985"/>
      <c r="U59" s="985"/>
      <c r="V59" s="985" t="s">
        <v>2401</v>
      </c>
      <c r="W59" s="1023"/>
      <c r="X59" s="1023"/>
      <c r="Y59" s="1022"/>
      <c r="Z59" s="985"/>
      <c r="AA59" s="985" t="s">
        <v>2401</v>
      </c>
      <c r="AB59" s="1022"/>
      <c r="AC59" s="1024"/>
      <c r="AD59" s="1024"/>
      <c r="AE59" s="1024"/>
      <c r="AF59" s="1024"/>
      <c r="AG59" s="1024"/>
      <c r="AH59" s="1025"/>
      <c r="AI59" s="1022"/>
      <c r="AJ59" s="1026" t="str">
        <f t="shared" si="18"/>
        <v/>
      </c>
      <c r="AK59" s="984" t="str">
        <f t="shared" si="13"/>
        <v/>
      </c>
      <c r="AL59" s="988" t="str">
        <f t="shared" si="12"/>
        <v/>
      </c>
      <c r="AM59" s="988"/>
      <c r="AN59" s="985" t="str">
        <f t="shared" si="19"/>
        <v/>
      </c>
      <c r="AO59" s="985" t="str">
        <f t="shared" si="20"/>
        <v/>
      </c>
      <c r="AP59" s="985"/>
      <c r="AQ59" s="1027"/>
      <c r="AR59" s="1027"/>
      <c r="AS59" s="1027"/>
      <c r="AT59" s="1027"/>
      <c r="AU59" s="1027"/>
      <c r="AV59" s="1027"/>
      <c r="AW59" s="1040"/>
      <c r="AX59" s="1040"/>
      <c r="AY59" s="1022"/>
      <c r="AZ59" s="1029"/>
    </row>
    <row r="60" spans="1:55" s="288" customFormat="1" x14ac:dyDescent="0.25">
      <c r="A60" s="992" t="s">
        <v>155</v>
      </c>
      <c r="B60" s="993" t="s">
        <v>57</v>
      </c>
      <c r="C60" s="994" t="s">
        <v>154</v>
      </c>
      <c r="D60" s="993"/>
      <c r="E60" s="1066"/>
      <c r="F60" s="1066"/>
      <c r="G60" s="993"/>
      <c r="H60" s="993" t="s">
        <v>659</v>
      </c>
      <c r="I60" s="993" t="s">
        <v>599</v>
      </c>
      <c r="J60" s="993" t="s">
        <v>659</v>
      </c>
      <c r="K60" s="993" t="s">
        <v>599</v>
      </c>
      <c r="L60" s="993" t="s">
        <v>579</v>
      </c>
      <c r="M60" s="993">
        <v>2030</v>
      </c>
      <c r="N60" s="995"/>
      <c r="O60" s="995"/>
      <c r="P60" s="993"/>
      <c r="Q60" s="993"/>
      <c r="R60" s="993"/>
      <c r="S60" s="993"/>
      <c r="T60" s="995"/>
      <c r="U60" s="995"/>
      <c r="V60" s="995" t="s">
        <v>2401</v>
      </c>
      <c r="W60" s="996"/>
      <c r="X60" s="996">
        <f>$AA60</f>
        <v>169.3229</v>
      </c>
      <c r="Y60" s="993" t="s">
        <v>580</v>
      </c>
      <c r="Z60" s="995"/>
      <c r="AA60" s="995">
        <v>169.3229</v>
      </c>
      <c r="AB60" s="993"/>
      <c r="AC60" s="997"/>
      <c r="AD60" s="997"/>
      <c r="AE60" s="997">
        <f t="shared" ref="AE60:AE81" si="21">IF(AA60="","&lt;0.1%",IF(AA60/$AA$81&lt;0.001,"&lt;0.1%",AA60/$AA$81))</f>
        <v>3.8085699075324562E-3</v>
      </c>
      <c r="AF60" s="997"/>
      <c r="AG60" s="997"/>
      <c r="AH60" s="998">
        <v>2030</v>
      </c>
      <c r="AI60" s="993"/>
      <c r="AJ60" s="999" t="str">
        <f t="shared" si="18"/>
        <v/>
      </c>
      <c r="AK60" s="1061"/>
      <c r="AL60" s="999" t="str">
        <f t="shared" si="12"/>
        <v/>
      </c>
      <c r="AM60" s="999"/>
      <c r="AN60" s="995" t="str">
        <f t="shared" si="19"/>
        <v/>
      </c>
      <c r="AO60" s="995" t="str">
        <f t="shared" si="20"/>
        <v/>
      </c>
      <c r="AP60" s="995"/>
      <c r="AQ60" s="1017"/>
      <c r="AR60" s="1017"/>
      <c r="AS60" s="1017"/>
      <c r="AT60" s="1017"/>
      <c r="AU60" s="1017"/>
      <c r="AV60" s="1017"/>
      <c r="AW60" s="1017"/>
      <c r="AX60" s="1017"/>
      <c r="AY60" s="998" t="s">
        <v>2558</v>
      </c>
      <c r="AZ60" s="1067"/>
    </row>
    <row r="61" spans="1:55" x14ac:dyDescent="0.25">
      <c r="A61" s="1002" t="s">
        <v>148</v>
      </c>
      <c r="B61" s="1003" t="s">
        <v>57</v>
      </c>
      <c r="C61" s="1018" t="s">
        <v>147</v>
      </c>
      <c r="D61" s="1003" t="s">
        <v>618</v>
      </c>
      <c r="E61" s="1014"/>
      <c r="F61" s="1014"/>
      <c r="G61" s="1003" t="s">
        <v>583</v>
      </c>
      <c r="H61" s="1003" t="s">
        <v>660</v>
      </c>
      <c r="I61" s="1003" t="s">
        <v>661</v>
      </c>
      <c r="J61" s="1003" t="s">
        <v>659</v>
      </c>
      <c r="K61" s="1003" t="s">
        <v>662</v>
      </c>
      <c r="L61" s="1003" t="s">
        <v>579</v>
      </c>
      <c r="M61" s="1003">
        <v>2030</v>
      </c>
      <c r="N61" s="1014">
        <f>$R61</f>
        <v>118.32299999999999</v>
      </c>
      <c r="O61" s="1014"/>
      <c r="P61" s="1003"/>
      <c r="Q61" s="1003" t="s">
        <v>2513</v>
      </c>
      <c r="R61" s="1003">
        <v>118.32299999999999</v>
      </c>
      <c r="S61" s="1003"/>
      <c r="T61" s="1014"/>
      <c r="U61" s="1014"/>
      <c r="V61" s="1014" t="s">
        <v>2401</v>
      </c>
      <c r="W61" s="1009"/>
      <c r="X61" s="1009">
        <f>$AA61</f>
        <v>33.474299999999999</v>
      </c>
      <c r="Y61" s="1003" t="s">
        <v>580</v>
      </c>
      <c r="Z61" s="1014"/>
      <c r="AA61" s="1014">
        <v>33.474299999999999</v>
      </c>
      <c r="AB61" s="1003"/>
      <c r="AC61" s="1012"/>
      <c r="AD61" s="1012"/>
      <c r="AE61" s="1012" t="str">
        <f t="shared" si="21"/>
        <v>&lt;0.1%</v>
      </c>
      <c r="AF61" s="1012"/>
      <c r="AG61" s="1012"/>
      <c r="AH61" s="1005">
        <v>2030</v>
      </c>
      <c r="AI61" s="1003"/>
      <c r="AJ61" s="1013">
        <f t="shared" si="18"/>
        <v>3.2873096674164954</v>
      </c>
      <c r="AK61" s="1013">
        <f>IF($AO61="","",$AO61/$X61)</f>
        <v>2.8984880938511037</v>
      </c>
      <c r="AL61" s="1013" t="str">
        <f t="shared" si="12"/>
        <v/>
      </c>
      <c r="AM61" s="1013"/>
      <c r="AN61" s="1014">
        <f t="shared" si="19"/>
        <v>110.04038999999999</v>
      </c>
      <c r="AO61" s="1010">
        <f t="shared" si="20"/>
        <v>97.024860000000004</v>
      </c>
      <c r="AP61" s="1014"/>
      <c r="AQ61" s="1019"/>
      <c r="AR61" s="1019"/>
      <c r="AS61" s="1019"/>
      <c r="AT61" s="1019"/>
      <c r="AU61" s="1019"/>
      <c r="AV61" s="1019"/>
      <c r="AW61" s="1019"/>
      <c r="AX61" s="1019"/>
      <c r="AY61" s="1003"/>
      <c r="AZ61" s="1003"/>
    </row>
    <row r="62" spans="1:55" x14ac:dyDescent="0.25">
      <c r="A62" s="992" t="s">
        <v>142</v>
      </c>
      <c r="B62" s="993" t="s">
        <v>57</v>
      </c>
      <c r="C62" s="994" t="s">
        <v>141</v>
      </c>
      <c r="D62" s="993" t="s">
        <v>618</v>
      </c>
      <c r="E62" s="995"/>
      <c r="F62" s="995"/>
      <c r="G62" s="993" t="s">
        <v>663</v>
      </c>
      <c r="H62" s="993"/>
      <c r="I62" s="993" t="s">
        <v>624</v>
      </c>
      <c r="J62" s="993"/>
      <c r="K62" s="993" t="s">
        <v>624</v>
      </c>
      <c r="L62" s="993" t="s">
        <v>664</v>
      </c>
      <c r="M62" s="993">
        <v>2035</v>
      </c>
      <c r="N62" s="995">
        <f>$R62</f>
        <v>104</v>
      </c>
      <c r="O62" s="995"/>
      <c r="P62" s="993"/>
      <c r="Q62" s="993" t="s">
        <v>2513</v>
      </c>
      <c r="R62" s="995">
        <v>104</v>
      </c>
      <c r="S62" s="995"/>
      <c r="T62" s="995"/>
      <c r="U62" s="995"/>
      <c r="V62" s="995" t="s">
        <v>2401</v>
      </c>
      <c r="W62" s="996"/>
      <c r="X62" s="996">
        <v>39</v>
      </c>
      <c r="Y62" s="993" t="s">
        <v>2513</v>
      </c>
      <c r="Z62" s="995"/>
      <c r="AA62" s="995">
        <v>192.28630000000001</v>
      </c>
      <c r="AB62" s="993">
        <v>39</v>
      </c>
      <c r="AC62" s="997"/>
      <c r="AD62" s="997"/>
      <c r="AE62" s="997">
        <f t="shared" si="21"/>
        <v>4.3250842963991178E-3</v>
      </c>
      <c r="AF62" s="997"/>
      <c r="AG62" s="997"/>
      <c r="AH62" s="998">
        <v>2035</v>
      </c>
      <c r="AI62" s="995">
        <f>$N62</f>
        <v>104</v>
      </c>
      <c r="AJ62" s="999">
        <f t="shared" si="18"/>
        <v>2.6666666666666665</v>
      </c>
      <c r="AK62" s="999">
        <f>IF($AO62="","",$AO62/$X62)</f>
        <v>1.8133333333333332</v>
      </c>
      <c r="AL62" s="999" t="str">
        <f t="shared" si="12"/>
        <v/>
      </c>
      <c r="AM62" s="999"/>
      <c r="AN62" s="995">
        <f t="shared" si="19"/>
        <v>104</v>
      </c>
      <c r="AO62" s="1000">
        <f t="shared" si="20"/>
        <v>70.72</v>
      </c>
      <c r="AP62" s="995"/>
      <c r="AQ62" s="1017"/>
      <c r="AR62" s="1017"/>
      <c r="AS62" s="1017"/>
      <c r="AT62" s="1017"/>
      <c r="AU62" s="1017"/>
      <c r="AV62" s="1017"/>
      <c r="AW62" s="1017"/>
      <c r="AX62" s="1017"/>
      <c r="AY62" s="993"/>
      <c r="AZ62" s="993"/>
    </row>
    <row r="63" spans="1:55" x14ac:dyDescent="0.25">
      <c r="A63" s="1002" t="s">
        <v>139</v>
      </c>
      <c r="B63" s="1003" t="s">
        <v>57</v>
      </c>
      <c r="C63" s="1018" t="s">
        <v>138</v>
      </c>
      <c r="D63" s="1003"/>
      <c r="E63" s="1014"/>
      <c r="F63" s="1014"/>
      <c r="G63" s="1003"/>
      <c r="H63" s="1003" t="s">
        <v>665</v>
      </c>
      <c r="I63" s="1003" t="s">
        <v>631</v>
      </c>
      <c r="J63" s="1003" t="s">
        <v>665</v>
      </c>
      <c r="K63" s="1003" t="s">
        <v>631</v>
      </c>
      <c r="L63" s="1003" t="s">
        <v>579</v>
      </c>
      <c r="M63" s="1003">
        <v>2030</v>
      </c>
      <c r="N63" s="1014"/>
      <c r="O63" s="1014"/>
      <c r="P63" s="1003"/>
      <c r="Q63" s="1003"/>
      <c r="R63" s="1003"/>
      <c r="S63" s="1003"/>
      <c r="T63" s="1014"/>
      <c r="U63" s="1014"/>
      <c r="V63" s="1014" t="s">
        <v>2401</v>
      </c>
      <c r="W63" s="1009"/>
      <c r="X63" s="1009">
        <f t="shared" ref="X63:X71" si="22">$AA63</f>
        <v>62.083799999999997</v>
      </c>
      <c r="Y63" s="1003" t="s">
        <v>580</v>
      </c>
      <c r="Z63" s="1014"/>
      <c r="AA63" s="1014">
        <v>62.083799999999997</v>
      </c>
      <c r="AB63" s="1003"/>
      <c r="AC63" s="1012"/>
      <c r="AD63" s="1012"/>
      <c r="AE63" s="1012">
        <f t="shared" si="21"/>
        <v>1.3964472166804577E-3</v>
      </c>
      <c r="AF63" s="1012"/>
      <c r="AG63" s="1012"/>
      <c r="AH63" s="1005">
        <v>2030</v>
      </c>
      <c r="AI63" s="1003"/>
      <c r="AJ63" s="1013" t="str">
        <f t="shared" si="18"/>
        <v/>
      </c>
      <c r="AK63" s="1068"/>
      <c r="AL63" s="1013" t="str">
        <f t="shared" si="12"/>
        <v/>
      </c>
      <c r="AM63" s="1013"/>
      <c r="AN63" s="1014" t="str">
        <f t="shared" si="19"/>
        <v/>
      </c>
      <c r="AO63" s="1014" t="str">
        <f t="shared" si="20"/>
        <v/>
      </c>
      <c r="AP63" s="1014"/>
      <c r="AQ63" s="1019"/>
      <c r="AR63" s="1019"/>
      <c r="AS63" s="1019"/>
      <c r="AT63" s="1019"/>
      <c r="AU63" s="1019"/>
      <c r="AV63" s="1019"/>
      <c r="AW63" s="1019"/>
      <c r="AX63" s="1019"/>
      <c r="AY63" s="1005" t="s">
        <v>2554</v>
      </c>
      <c r="AZ63" s="1056"/>
    </row>
    <row r="64" spans="1:55" x14ac:dyDescent="0.25">
      <c r="A64" s="992" t="s">
        <v>131</v>
      </c>
      <c r="B64" s="993" t="s">
        <v>57</v>
      </c>
      <c r="C64" s="994" t="s">
        <v>130</v>
      </c>
      <c r="D64" s="993" t="s">
        <v>618</v>
      </c>
      <c r="E64" s="995"/>
      <c r="F64" s="995"/>
      <c r="G64" s="993" t="s">
        <v>666</v>
      </c>
      <c r="H64" s="993"/>
      <c r="I64" s="993" t="s">
        <v>667</v>
      </c>
      <c r="J64" s="993"/>
      <c r="K64" s="993" t="s">
        <v>667</v>
      </c>
      <c r="L64" s="993" t="s">
        <v>579</v>
      </c>
      <c r="M64" s="993">
        <v>2030</v>
      </c>
      <c r="N64" s="995">
        <f>$R64</f>
        <v>430</v>
      </c>
      <c r="O64" s="995"/>
      <c r="P64" s="993"/>
      <c r="Q64" s="993" t="s">
        <v>2513</v>
      </c>
      <c r="R64" s="993">
        <v>430</v>
      </c>
      <c r="S64" s="993"/>
      <c r="T64" s="995"/>
      <c r="U64" s="995"/>
      <c r="V64" s="995" t="s">
        <v>2401</v>
      </c>
      <c r="W64" s="996"/>
      <c r="X64" s="996">
        <f t="shared" si="22"/>
        <v>207.21100000000001</v>
      </c>
      <c r="Y64" s="993" t="s">
        <v>580</v>
      </c>
      <c r="Z64" s="995"/>
      <c r="AA64" s="995">
        <v>207.21100000000001</v>
      </c>
      <c r="AB64" s="993"/>
      <c r="AC64" s="997"/>
      <c r="AD64" s="997"/>
      <c r="AE64" s="997">
        <f t="shared" si="21"/>
        <v>4.6607846848223588E-3</v>
      </c>
      <c r="AF64" s="997"/>
      <c r="AG64" s="997"/>
      <c r="AH64" s="998">
        <v>2030</v>
      </c>
      <c r="AI64" s="993"/>
      <c r="AJ64" s="999">
        <f t="shared" si="18"/>
        <v>2.0751794064986897</v>
      </c>
      <c r="AK64" s="999">
        <f t="shared" ref="AK64:AK81" si="23">IF($AO64="","",$AO64/$X64)</f>
        <v>1.7223989073939123</v>
      </c>
      <c r="AL64" s="999" t="str">
        <f t="shared" si="12"/>
        <v/>
      </c>
      <c r="AM64" s="999"/>
      <c r="AN64" s="995">
        <f t="shared" si="19"/>
        <v>430</v>
      </c>
      <c r="AO64" s="1000">
        <f t="shared" si="20"/>
        <v>356.9</v>
      </c>
      <c r="AP64" s="995"/>
      <c r="AQ64" s="1017"/>
      <c r="AR64" s="1017"/>
      <c r="AS64" s="1017"/>
      <c r="AT64" s="1017"/>
      <c r="AU64" s="1017"/>
      <c r="AV64" s="1017"/>
      <c r="AW64" s="1017"/>
      <c r="AX64" s="1017"/>
      <c r="AY64" s="993"/>
      <c r="AZ64" s="993"/>
    </row>
    <row r="65" spans="1:54" x14ac:dyDescent="0.25">
      <c r="A65" s="1002" t="s">
        <v>129</v>
      </c>
      <c r="B65" s="1003" t="s">
        <v>57</v>
      </c>
      <c r="C65" s="1018" t="s">
        <v>128</v>
      </c>
      <c r="D65" s="1003"/>
      <c r="E65" s="1014"/>
      <c r="F65" s="1014"/>
      <c r="G65" s="1003"/>
      <c r="H65" s="1003" t="s">
        <v>602</v>
      </c>
      <c r="I65" s="1003"/>
      <c r="J65" s="1003" t="s">
        <v>602</v>
      </c>
      <c r="K65" s="1003" t="s">
        <v>602</v>
      </c>
      <c r="L65" s="1003" t="s">
        <v>579</v>
      </c>
      <c r="M65" s="1003">
        <v>2030</v>
      </c>
      <c r="N65" s="1014"/>
      <c r="O65" s="1014"/>
      <c r="P65" s="1003"/>
      <c r="Q65" s="1003"/>
      <c r="R65" s="1003"/>
      <c r="S65" s="1003"/>
      <c r="T65" s="1014"/>
      <c r="U65" s="1014"/>
      <c r="V65" s="1014" t="s">
        <v>2401</v>
      </c>
      <c r="W65" s="1009"/>
      <c r="X65" s="1009">
        <f t="shared" si="22"/>
        <v>33.544499999999999</v>
      </c>
      <c r="Y65" s="1003" t="s">
        <v>580</v>
      </c>
      <c r="Z65" s="1014"/>
      <c r="AA65" s="1014">
        <v>33.544499999999999</v>
      </c>
      <c r="AB65" s="1003"/>
      <c r="AC65" s="1012"/>
      <c r="AD65" s="1012"/>
      <c r="AE65" s="1012" t="str">
        <f t="shared" si="21"/>
        <v>&lt;0.1%</v>
      </c>
      <c r="AF65" s="1012"/>
      <c r="AG65" s="1012"/>
      <c r="AH65" s="1005">
        <v>2030</v>
      </c>
      <c r="AI65" s="1003"/>
      <c r="AJ65" s="1013">
        <f t="shared" si="18"/>
        <v>1.5388363772107472</v>
      </c>
      <c r="AK65" s="1013">
        <f t="shared" si="23"/>
        <v>1.5388363772107472</v>
      </c>
      <c r="AL65" s="1013" t="str">
        <f t="shared" si="12"/>
        <v/>
      </c>
      <c r="AM65" s="1013"/>
      <c r="AN65" s="1014">
        <f>$AO65</f>
        <v>51.619496855345908</v>
      </c>
      <c r="AO65" s="1010">
        <v>51.619496855345908</v>
      </c>
      <c r="AP65" s="1014"/>
      <c r="AQ65" s="1019"/>
      <c r="AR65" s="1019"/>
      <c r="AS65" s="1019"/>
      <c r="AT65" s="1019"/>
      <c r="AU65" s="1019"/>
      <c r="AV65" s="1019"/>
      <c r="AW65" s="1019"/>
      <c r="AX65" s="1019"/>
      <c r="AY65" s="1058"/>
      <c r="AZ65" s="1003"/>
    </row>
    <row r="66" spans="1:54" x14ac:dyDescent="0.25">
      <c r="A66" s="992" t="s">
        <v>124</v>
      </c>
      <c r="B66" s="993" t="s">
        <v>57</v>
      </c>
      <c r="C66" s="994" t="s">
        <v>123</v>
      </c>
      <c r="D66" s="993"/>
      <c r="E66" s="995"/>
      <c r="F66" s="995"/>
      <c r="G66" s="993"/>
      <c r="H66" s="993" t="s">
        <v>610</v>
      </c>
      <c r="I66" s="993"/>
      <c r="J66" s="993" t="s">
        <v>610</v>
      </c>
      <c r="K66" s="993" t="s">
        <v>610</v>
      </c>
      <c r="L66" s="993" t="s">
        <v>613</v>
      </c>
      <c r="M66" s="993">
        <v>2010</v>
      </c>
      <c r="N66" s="995">
        <f>$V66</f>
        <v>25.570399999999999</v>
      </c>
      <c r="O66" s="995"/>
      <c r="P66" s="993"/>
      <c r="Q66" s="993" t="s">
        <v>580</v>
      </c>
      <c r="R66" s="993"/>
      <c r="S66" s="993"/>
      <c r="T66" s="995"/>
      <c r="U66" s="995"/>
      <c r="V66" s="995">
        <v>25.570399999999999</v>
      </c>
      <c r="W66" s="996"/>
      <c r="X66" s="996">
        <f t="shared" si="22"/>
        <v>25.570399999999999</v>
      </c>
      <c r="Y66" s="993" t="s">
        <v>580</v>
      </c>
      <c r="Z66" s="995"/>
      <c r="AA66" s="995">
        <v>25.570399999999999</v>
      </c>
      <c r="AB66" s="993"/>
      <c r="AC66" s="997"/>
      <c r="AD66" s="997"/>
      <c r="AE66" s="997" t="str">
        <f t="shared" si="21"/>
        <v>&lt;0.1%</v>
      </c>
      <c r="AF66" s="997"/>
      <c r="AG66" s="997"/>
      <c r="AH66" s="998">
        <v>2030</v>
      </c>
      <c r="AI66" s="993"/>
      <c r="AJ66" s="999">
        <f t="shared" si="18"/>
        <v>0.8</v>
      </c>
      <c r="AK66" s="999">
        <f t="shared" si="23"/>
        <v>0.8</v>
      </c>
      <c r="AL66" s="999" t="str">
        <f t="shared" si="12"/>
        <v/>
      </c>
      <c r="AM66" s="999"/>
      <c r="AN66" s="995">
        <f t="shared" ref="AN66:AN76" si="24">IF($N66="","",$N66*(1+$J66))</f>
        <v>20.456320000000002</v>
      </c>
      <c r="AO66" s="1000">
        <f t="shared" ref="AO66:AO76" si="25">IF($N66="","",$N66*(1+$K66))</f>
        <v>20.456320000000002</v>
      </c>
      <c r="AP66" s="995"/>
      <c r="AQ66" s="1017"/>
      <c r="AR66" s="1017"/>
      <c r="AS66" s="1017"/>
      <c r="AT66" s="1017"/>
      <c r="AU66" s="1017"/>
      <c r="AV66" s="1017"/>
      <c r="AW66" s="1017"/>
      <c r="AX66" s="1017"/>
      <c r="AY66" s="993"/>
      <c r="AZ66" s="993"/>
    </row>
    <row r="67" spans="1:54" x14ac:dyDescent="0.25">
      <c r="A67" s="1002" t="s">
        <v>120</v>
      </c>
      <c r="B67" s="1003" t="s">
        <v>57</v>
      </c>
      <c r="C67" s="1018" t="s">
        <v>119</v>
      </c>
      <c r="D67" s="1003"/>
      <c r="E67" s="1014"/>
      <c r="F67" s="1014"/>
      <c r="G67" s="1003"/>
      <c r="H67" s="1003"/>
      <c r="I67" s="1003" t="s">
        <v>648</v>
      </c>
      <c r="J67" s="1003" t="str">
        <f>$K67</f>
        <v>-64%</v>
      </c>
      <c r="K67" s="1003" t="s">
        <v>648</v>
      </c>
      <c r="L67" s="1003" t="s">
        <v>579</v>
      </c>
      <c r="M67" s="1003">
        <v>2030</v>
      </c>
      <c r="N67" s="1014">
        <f>255+145</f>
        <v>400</v>
      </c>
      <c r="O67" s="1014"/>
      <c r="P67" s="1003"/>
      <c r="Q67" s="1003" t="s">
        <v>2513</v>
      </c>
      <c r="R67" s="1003"/>
      <c r="S67" s="1003"/>
      <c r="T67" s="1014"/>
      <c r="U67" s="1014"/>
      <c r="V67" s="1014" t="s">
        <v>2401</v>
      </c>
      <c r="W67" s="1009"/>
      <c r="X67" s="1009">
        <f t="shared" si="22"/>
        <v>141.4127</v>
      </c>
      <c r="Y67" s="1003" t="s">
        <v>580</v>
      </c>
      <c r="Z67" s="1014"/>
      <c r="AA67" s="1014">
        <v>141.4127</v>
      </c>
      <c r="AB67" s="1003"/>
      <c r="AC67" s="1012"/>
      <c r="AD67" s="1012"/>
      <c r="AE67" s="1012">
        <f t="shared" si="21"/>
        <v>3.1807874408181936E-3</v>
      </c>
      <c r="AF67" s="1012"/>
      <c r="AG67" s="1012"/>
      <c r="AH67" s="1005">
        <v>2030</v>
      </c>
      <c r="AI67" s="1003"/>
      <c r="AJ67" s="1013">
        <f t="shared" si="18"/>
        <v>1.0182960936323258</v>
      </c>
      <c r="AK67" s="1013">
        <f t="shared" si="23"/>
        <v>1.0182960936323258</v>
      </c>
      <c r="AL67" s="1013" t="str">
        <f t="shared" si="12"/>
        <v/>
      </c>
      <c r="AM67" s="1013"/>
      <c r="AN67" s="1014">
        <f t="shared" si="24"/>
        <v>144</v>
      </c>
      <c r="AO67" s="1010">
        <f t="shared" si="25"/>
        <v>144</v>
      </c>
      <c r="AP67" s="1014"/>
      <c r="AQ67" s="1019"/>
      <c r="AR67" s="1019"/>
      <c r="AS67" s="1019"/>
      <c r="AT67" s="1019"/>
      <c r="AU67" s="1019"/>
      <c r="AV67" s="1019"/>
      <c r="AW67" s="1019"/>
      <c r="AX67" s="1019"/>
      <c r="AY67" s="1058"/>
      <c r="AZ67" s="1056"/>
    </row>
    <row r="68" spans="1:54" x14ac:dyDescent="0.25">
      <c r="A68" s="992" t="s">
        <v>116</v>
      </c>
      <c r="B68" s="993" t="s">
        <v>57</v>
      </c>
      <c r="C68" s="994" t="s">
        <v>115</v>
      </c>
      <c r="D68" s="993"/>
      <c r="E68" s="995"/>
      <c r="F68" s="995"/>
      <c r="G68" s="993"/>
      <c r="H68" s="993" t="s">
        <v>668</v>
      </c>
      <c r="I68" s="993"/>
      <c r="J68" s="993" t="s">
        <v>608</v>
      </c>
      <c r="K68" s="993" t="s">
        <v>608</v>
      </c>
      <c r="L68" s="993" t="s">
        <v>669</v>
      </c>
      <c r="M68" s="993">
        <v>2010</v>
      </c>
      <c r="N68" s="995">
        <f>$V68</f>
        <v>6.8761999999999999</v>
      </c>
      <c r="O68" s="995"/>
      <c r="P68" s="993"/>
      <c r="Q68" s="993" t="s">
        <v>580</v>
      </c>
      <c r="R68" s="993"/>
      <c r="S68" s="993"/>
      <c r="T68" s="995"/>
      <c r="U68" s="995"/>
      <c r="V68" s="995">
        <v>6.8761999999999999</v>
      </c>
      <c r="W68" s="996"/>
      <c r="X68" s="996">
        <f t="shared" si="22"/>
        <v>6.8761999999999999</v>
      </c>
      <c r="Y68" s="993" t="s">
        <v>580</v>
      </c>
      <c r="Z68" s="995"/>
      <c r="AA68" s="995">
        <v>6.8761999999999999</v>
      </c>
      <c r="AB68" s="993"/>
      <c r="AC68" s="997"/>
      <c r="AD68" s="997"/>
      <c r="AE68" s="997" t="str">
        <f t="shared" si="21"/>
        <v>&lt;0.1%</v>
      </c>
      <c r="AF68" s="997"/>
      <c r="AG68" s="997"/>
      <c r="AH68" s="998">
        <v>2035</v>
      </c>
      <c r="AI68" s="993"/>
      <c r="AJ68" s="999">
        <f t="shared" si="18"/>
        <v>0.55000000000000004</v>
      </c>
      <c r="AK68" s="999">
        <f t="shared" si="23"/>
        <v>0.55000000000000004</v>
      </c>
      <c r="AL68" s="999" t="str">
        <f t="shared" si="12"/>
        <v/>
      </c>
      <c r="AM68" s="999"/>
      <c r="AN68" s="995">
        <f t="shared" si="24"/>
        <v>3.7819100000000003</v>
      </c>
      <c r="AO68" s="1000">
        <f t="shared" si="25"/>
        <v>3.7819100000000003</v>
      </c>
      <c r="AP68" s="995"/>
      <c r="AQ68" s="1017"/>
      <c r="AR68" s="1017"/>
      <c r="AS68" s="1017"/>
      <c r="AT68" s="1017"/>
      <c r="AU68" s="1017"/>
      <c r="AV68" s="1017"/>
      <c r="AW68" s="1017"/>
      <c r="AX68" s="1017"/>
      <c r="AY68" s="993"/>
      <c r="AZ68" s="993"/>
    </row>
    <row r="69" spans="1:54" x14ac:dyDescent="0.25">
      <c r="A69" s="1002" t="s">
        <v>114</v>
      </c>
      <c r="B69" s="1003" t="s">
        <v>57</v>
      </c>
      <c r="C69" s="1018" t="s">
        <v>113</v>
      </c>
      <c r="D69" s="1003"/>
      <c r="E69" s="1014"/>
      <c r="F69" s="1014"/>
      <c r="G69" s="1003"/>
      <c r="H69" s="1003" t="s">
        <v>604</v>
      </c>
      <c r="I69" s="1003" t="s">
        <v>608</v>
      </c>
      <c r="J69" s="1003" t="s">
        <v>604</v>
      </c>
      <c r="K69" s="1003" t="s">
        <v>608</v>
      </c>
      <c r="L69" s="1003" t="s">
        <v>579</v>
      </c>
      <c r="M69" s="1003">
        <v>2030</v>
      </c>
      <c r="N69" s="1014">
        <v>73.95</v>
      </c>
      <c r="O69" s="1014"/>
      <c r="P69" s="1003"/>
      <c r="Q69" s="1003" t="s">
        <v>2513</v>
      </c>
      <c r="R69" s="1003"/>
      <c r="S69" s="1003"/>
      <c r="T69" s="1014"/>
      <c r="U69" s="1014"/>
      <c r="V69" s="1014" t="s">
        <v>2401</v>
      </c>
      <c r="W69" s="1009"/>
      <c r="X69" s="1009">
        <f t="shared" si="22"/>
        <v>56.878500000000003</v>
      </c>
      <c r="Y69" s="1003" t="s">
        <v>580</v>
      </c>
      <c r="Z69" s="1014"/>
      <c r="AA69" s="1014">
        <v>56.878500000000003</v>
      </c>
      <c r="AB69" s="1003"/>
      <c r="AC69" s="1012"/>
      <c r="AD69" s="1012"/>
      <c r="AE69" s="1012">
        <f t="shared" si="21"/>
        <v>1.2793647137249882E-3</v>
      </c>
      <c r="AF69" s="1012"/>
      <c r="AG69" s="1012"/>
      <c r="AH69" s="1005">
        <v>2030</v>
      </c>
      <c r="AI69" s="1003"/>
      <c r="AJ69" s="1013">
        <f t="shared" si="18"/>
        <v>1.1051188058756825</v>
      </c>
      <c r="AK69" s="1013">
        <f t="shared" si="23"/>
        <v>0.71507687439014755</v>
      </c>
      <c r="AL69" s="1013" t="str">
        <f t="shared" si="12"/>
        <v/>
      </c>
      <c r="AM69" s="1013"/>
      <c r="AN69" s="1014">
        <f t="shared" si="24"/>
        <v>62.857500000000002</v>
      </c>
      <c r="AO69" s="1010">
        <f t="shared" si="25"/>
        <v>40.672500000000007</v>
      </c>
      <c r="AP69" s="1014"/>
      <c r="AQ69" s="1019"/>
      <c r="AR69" s="1019"/>
      <c r="AS69" s="1019"/>
      <c r="AT69" s="1019"/>
      <c r="AU69" s="1019"/>
      <c r="AV69" s="1019"/>
      <c r="AW69" s="1019"/>
      <c r="AX69" s="1019"/>
      <c r="AY69" s="1058"/>
      <c r="AZ69" s="1056"/>
    </row>
    <row r="70" spans="1:54" x14ac:dyDescent="0.25">
      <c r="A70" s="992" t="s">
        <v>112</v>
      </c>
      <c r="B70" s="993" t="s">
        <v>57</v>
      </c>
      <c r="C70" s="994" t="s">
        <v>111</v>
      </c>
      <c r="D70" s="993"/>
      <c r="E70" s="995"/>
      <c r="F70" s="995"/>
      <c r="G70" s="993"/>
      <c r="H70" s="993"/>
      <c r="I70" s="1062">
        <v>-0.13</v>
      </c>
      <c r="J70" s="993"/>
      <c r="K70" s="1062">
        <v>-0.13</v>
      </c>
      <c r="L70" s="993" t="s">
        <v>579</v>
      </c>
      <c r="M70" s="993">
        <v>2030</v>
      </c>
      <c r="N70" s="995">
        <f>$R70</f>
        <v>54</v>
      </c>
      <c r="O70" s="995"/>
      <c r="P70" s="993"/>
      <c r="Q70" s="993" t="s">
        <v>2513</v>
      </c>
      <c r="R70" s="993">
        <v>54</v>
      </c>
      <c r="S70" s="993"/>
      <c r="T70" s="995"/>
      <c r="U70" s="995"/>
      <c r="V70" s="995" t="s">
        <v>2401</v>
      </c>
      <c r="W70" s="996"/>
      <c r="X70" s="996">
        <f t="shared" si="22"/>
        <v>28.400099999999998</v>
      </c>
      <c r="Y70" s="993" t="s">
        <v>580</v>
      </c>
      <c r="Z70" s="995"/>
      <c r="AA70" s="995">
        <v>28.400099999999998</v>
      </c>
      <c r="AB70" s="993"/>
      <c r="AC70" s="997"/>
      <c r="AD70" s="997"/>
      <c r="AE70" s="997" t="str">
        <f t="shared" si="21"/>
        <v>&lt;0.1%</v>
      </c>
      <c r="AF70" s="997"/>
      <c r="AG70" s="997"/>
      <c r="AH70" s="998">
        <v>2030</v>
      </c>
      <c r="AI70" s="993"/>
      <c r="AJ70" s="999">
        <f t="shared" si="18"/>
        <v>1.901401755627621</v>
      </c>
      <c r="AK70" s="999">
        <f t="shared" si="23"/>
        <v>1.6542195273960303</v>
      </c>
      <c r="AL70" s="999" t="str">
        <f t="shared" si="12"/>
        <v/>
      </c>
      <c r="AM70" s="999"/>
      <c r="AN70" s="995">
        <f t="shared" si="24"/>
        <v>54</v>
      </c>
      <c r="AO70" s="1000">
        <f t="shared" si="25"/>
        <v>46.98</v>
      </c>
      <c r="AP70" s="995"/>
      <c r="AQ70" s="1017"/>
      <c r="AR70" s="1017"/>
      <c r="AS70" s="1017"/>
      <c r="AT70" s="1017"/>
      <c r="AU70" s="1017"/>
      <c r="AV70" s="1017"/>
      <c r="AW70" s="1017"/>
      <c r="AX70" s="1017"/>
      <c r="AY70" s="993"/>
      <c r="AZ70" s="993"/>
    </row>
    <row r="71" spans="1:54" x14ac:dyDescent="0.25">
      <c r="A71" s="1002" t="s">
        <v>108</v>
      </c>
      <c r="B71" s="1003" t="s">
        <v>57</v>
      </c>
      <c r="C71" s="1018" t="s">
        <v>107</v>
      </c>
      <c r="D71" s="1003"/>
      <c r="E71" s="1014"/>
      <c r="F71" s="1014"/>
      <c r="G71" s="1003"/>
      <c r="H71" s="1003"/>
      <c r="I71" s="1003" t="s">
        <v>590</v>
      </c>
      <c r="J71" s="1003" t="str">
        <f>$K71</f>
        <v>-30%</v>
      </c>
      <c r="K71" s="1003" t="s">
        <v>590</v>
      </c>
      <c r="L71" s="1003" t="s">
        <v>579</v>
      </c>
      <c r="M71" s="1003">
        <v>2030</v>
      </c>
      <c r="N71" s="1014">
        <v>143</v>
      </c>
      <c r="O71" s="1014"/>
      <c r="P71" s="1003"/>
      <c r="Q71" s="1003" t="s">
        <v>2513</v>
      </c>
      <c r="R71" s="1003"/>
      <c r="S71" s="1003"/>
      <c r="T71" s="1014"/>
      <c r="U71" s="1014"/>
      <c r="V71" s="1014" t="s">
        <v>2401</v>
      </c>
      <c r="W71" s="1009"/>
      <c r="X71" s="1009">
        <f t="shared" si="22"/>
        <v>67.863399999999999</v>
      </c>
      <c r="Y71" s="1003" t="s">
        <v>580</v>
      </c>
      <c r="Z71" s="1014"/>
      <c r="AA71" s="1014">
        <v>67.863399999999999</v>
      </c>
      <c r="AB71" s="1003"/>
      <c r="AC71" s="1012"/>
      <c r="AD71" s="1012"/>
      <c r="AE71" s="1012">
        <f t="shared" si="21"/>
        <v>1.5264474153397921E-3</v>
      </c>
      <c r="AF71" s="1012"/>
      <c r="AG71" s="1012"/>
      <c r="AH71" s="1005">
        <v>2030</v>
      </c>
      <c r="AI71" s="1003"/>
      <c r="AJ71" s="1013">
        <f t="shared" si="18"/>
        <v>1.4750218821927576</v>
      </c>
      <c r="AK71" s="1047">
        <f t="shared" si="23"/>
        <v>1.4750218821927576</v>
      </c>
      <c r="AL71" s="1013" t="str">
        <f t="shared" si="12"/>
        <v/>
      </c>
      <c r="AM71" s="1013"/>
      <c r="AN71" s="1014">
        <f t="shared" si="24"/>
        <v>100.1</v>
      </c>
      <c r="AO71" s="1010">
        <f t="shared" si="25"/>
        <v>100.1</v>
      </c>
      <c r="AP71" s="1014"/>
      <c r="AQ71" s="1019"/>
      <c r="AR71" s="1019"/>
      <c r="AS71" s="1019"/>
      <c r="AT71" s="1019"/>
      <c r="AU71" s="1019"/>
      <c r="AV71" s="1019"/>
      <c r="AW71" s="1019"/>
      <c r="AX71" s="1019"/>
      <c r="AY71" s="1058"/>
      <c r="AZ71" s="1056"/>
    </row>
    <row r="72" spans="1:54" x14ac:dyDescent="0.25">
      <c r="A72" s="992" t="s">
        <v>102</v>
      </c>
      <c r="B72" s="993" t="s">
        <v>57</v>
      </c>
      <c r="C72" s="994" t="s">
        <v>101</v>
      </c>
      <c r="D72" s="993"/>
      <c r="E72" s="995"/>
      <c r="F72" s="995"/>
      <c r="G72" s="993"/>
      <c r="H72" s="993" t="s">
        <v>629</v>
      </c>
      <c r="I72" s="993"/>
      <c r="J72" s="993" t="s">
        <v>629</v>
      </c>
      <c r="K72" s="993" t="s">
        <v>629</v>
      </c>
      <c r="L72" s="993" t="s">
        <v>579</v>
      </c>
      <c r="M72" s="993">
        <v>2030</v>
      </c>
      <c r="N72" s="995">
        <v>214</v>
      </c>
      <c r="O72" s="995"/>
      <c r="P72" s="993"/>
      <c r="Q72" s="993" t="s">
        <v>2513</v>
      </c>
      <c r="R72" s="993"/>
      <c r="S72" s="993"/>
      <c r="T72" s="995"/>
      <c r="U72" s="995"/>
      <c r="V72" s="995" t="s">
        <v>2401</v>
      </c>
      <c r="W72" s="996"/>
      <c r="X72" s="996">
        <v>117.23103999999999</v>
      </c>
      <c r="Y72" s="993" t="s">
        <v>625</v>
      </c>
      <c r="Z72" s="995"/>
      <c r="AA72" s="995">
        <v>57.340899999999998</v>
      </c>
      <c r="AB72" s="993"/>
      <c r="AC72" s="997"/>
      <c r="AD72" s="997"/>
      <c r="AE72" s="997">
        <f t="shared" si="21"/>
        <v>1.2897654493918295E-3</v>
      </c>
      <c r="AF72" s="997"/>
      <c r="AG72" s="997"/>
      <c r="AH72" s="998">
        <v>2030</v>
      </c>
      <c r="AI72" s="993"/>
      <c r="AJ72" s="999">
        <f t="shared" si="18"/>
        <v>1.5698913871275049</v>
      </c>
      <c r="AK72" s="999">
        <f t="shared" si="23"/>
        <v>1.5698913871275049</v>
      </c>
      <c r="AL72" s="999" t="str">
        <f t="shared" si="12"/>
        <v/>
      </c>
      <c r="AM72" s="999"/>
      <c r="AN72" s="995">
        <f t="shared" si="24"/>
        <v>184.04</v>
      </c>
      <c r="AO72" s="1000">
        <f t="shared" si="25"/>
        <v>184.04</v>
      </c>
      <c r="AP72" s="995"/>
      <c r="AQ72" s="1017"/>
      <c r="AR72" s="1017"/>
      <c r="AS72" s="1017"/>
      <c r="AT72" s="1017"/>
      <c r="AU72" s="1017"/>
      <c r="AV72" s="1017"/>
      <c r="AW72" s="1017"/>
      <c r="AX72" s="1017"/>
      <c r="AY72" s="998" t="s">
        <v>2559</v>
      </c>
      <c r="AZ72" s="1020"/>
    </row>
    <row r="73" spans="1:54" x14ac:dyDescent="0.25">
      <c r="A73" s="1002" t="s">
        <v>92</v>
      </c>
      <c r="B73" s="1003" t="s">
        <v>57</v>
      </c>
      <c r="C73" s="1018" t="s">
        <v>91</v>
      </c>
      <c r="D73" s="1003"/>
      <c r="E73" s="1014"/>
      <c r="F73" s="1014"/>
      <c r="G73" s="1003"/>
      <c r="H73" s="1003" t="s">
        <v>670</v>
      </c>
      <c r="I73" s="1003" t="s">
        <v>624</v>
      </c>
      <c r="J73" s="1003" t="s">
        <v>670</v>
      </c>
      <c r="K73" s="1003" t="s">
        <v>624</v>
      </c>
      <c r="L73" s="1003" t="s">
        <v>579</v>
      </c>
      <c r="M73" s="1003">
        <v>2030</v>
      </c>
      <c r="N73" s="1014">
        <v>170</v>
      </c>
      <c r="O73" s="1014"/>
      <c r="P73" s="1003"/>
      <c r="Q73" s="1003" t="s">
        <v>2513</v>
      </c>
      <c r="R73" s="1003"/>
      <c r="S73" s="1003"/>
      <c r="T73" s="1014"/>
      <c r="U73" s="1014"/>
      <c r="V73" s="1014" t="s">
        <v>2401</v>
      </c>
      <c r="W73" s="1009"/>
      <c r="X73" s="1009">
        <f>$AA73</f>
        <v>73.157899999999998</v>
      </c>
      <c r="Y73" s="1003" t="s">
        <v>580</v>
      </c>
      <c r="Z73" s="1014"/>
      <c r="AA73" s="1014">
        <v>73.157899999999998</v>
      </c>
      <c r="AB73" s="1003"/>
      <c r="AC73" s="1012"/>
      <c r="AD73" s="1012"/>
      <c r="AE73" s="1012">
        <f t="shared" si="21"/>
        <v>1.6455362885839343E-3</v>
      </c>
      <c r="AF73" s="1012"/>
      <c r="AG73" s="1012"/>
      <c r="AH73" s="1005">
        <v>2030</v>
      </c>
      <c r="AI73" s="1003"/>
      <c r="AJ73" s="1013">
        <f t="shared" si="18"/>
        <v>2.021654530816221</v>
      </c>
      <c r="AK73" s="1013">
        <f t="shared" si="23"/>
        <v>1.5801437712126782</v>
      </c>
      <c r="AL73" s="1013" t="str">
        <f t="shared" si="12"/>
        <v/>
      </c>
      <c r="AM73" s="1013"/>
      <c r="AN73" s="1014">
        <f t="shared" si="24"/>
        <v>147.9</v>
      </c>
      <c r="AO73" s="1010">
        <f t="shared" si="25"/>
        <v>115.6</v>
      </c>
      <c r="AP73" s="1014"/>
      <c r="AQ73" s="1019"/>
      <c r="AR73" s="1019"/>
      <c r="AS73" s="1019"/>
      <c r="AT73" s="1019"/>
      <c r="AU73" s="1019"/>
      <c r="AV73" s="1019"/>
      <c r="AW73" s="1019"/>
      <c r="AX73" s="1019"/>
      <c r="AY73" s="1058"/>
      <c r="AZ73" s="1056"/>
    </row>
    <row r="74" spans="1:54" x14ac:dyDescent="0.25">
      <c r="A74" s="992" t="s">
        <v>86</v>
      </c>
      <c r="B74" s="993" t="s">
        <v>57</v>
      </c>
      <c r="C74" s="994" t="s">
        <v>85</v>
      </c>
      <c r="D74" s="993" t="s">
        <v>618</v>
      </c>
      <c r="E74" s="995"/>
      <c r="F74" s="995"/>
      <c r="G74" s="993" t="s">
        <v>583</v>
      </c>
      <c r="H74" s="993" t="s">
        <v>671</v>
      </c>
      <c r="I74" s="993" t="s">
        <v>672</v>
      </c>
      <c r="J74" s="993" t="s">
        <v>673</v>
      </c>
      <c r="K74" s="993" t="s">
        <v>638</v>
      </c>
      <c r="L74" s="993" t="s">
        <v>579</v>
      </c>
      <c r="M74" s="993">
        <v>2030</v>
      </c>
      <c r="N74" s="995">
        <f>$R74</f>
        <v>96.468000000000004</v>
      </c>
      <c r="O74" s="995"/>
      <c r="P74" s="993"/>
      <c r="Q74" s="993" t="s">
        <v>2513</v>
      </c>
      <c r="R74" s="995">
        <v>96.468000000000004</v>
      </c>
      <c r="S74" s="995"/>
      <c r="T74" s="995"/>
      <c r="U74" s="995"/>
      <c r="V74" s="995" t="s">
        <v>2401</v>
      </c>
      <c r="W74" s="996"/>
      <c r="X74" s="996">
        <f>$AA74</f>
        <v>25.240400000000001</v>
      </c>
      <c r="Y74" s="993" t="s">
        <v>580</v>
      </c>
      <c r="Z74" s="995"/>
      <c r="AA74" s="995">
        <v>25.240400000000001</v>
      </c>
      <c r="AB74" s="993"/>
      <c r="AC74" s="997"/>
      <c r="AD74" s="997"/>
      <c r="AE74" s="997" t="str">
        <f t="shared" si="21"/>
        <v>&lt;0.1%</v>
      </c>
      <c r="AF74" s="997"/>
      <c r="AG74" s="997"/>
      <c r="AH74" s="998">
        <v>2030</v>
      </c>
      <c r="AI74" s="993"/>
      <c r="AJ74" s="999">
        <f t="shared" si="18"/>
        <v>3.6690892378884641</v>
      </c>
      <c r="AK74" s="999">
        <f t="shared" si="23"/>
        <v>2.4842791714869814</v>
      </c>
      <c r="AL74" s="999" t="str">
        <f t="shared" si="12"/>
        <v/>
      </c>
      <c r="AM74" s="999"/>
      <c r="AN74" s="995">
        <f t="shared" si="24"/>
        <v>92.609279999999998</v>
      </c>
      <c r="AO74" s="1000">
        <f t="shared" si="25"/>
        <v>62.704200000000007</v>
      </c>
      <c r="AP74" s="995"/>
      <c r="AQ74" s="1017"/>
      <c r="AR74" s="1017"/>
      <c r="AS74" s="1017"/>
      <c r="AT74" s="1017"/>
      <c r="AU74" s="1017"/>
      <c r="AV74" s="1017"/>
      <c r="AW74" s="1017"/>
      <c r="AX74" s="1017"/>
      <c r="AY74" s="993"/>
      <c r="AZ74" s="993"/>
    </row>
    <row r="75" spans="1:54" x14ac:dyDescent="0.25">
      <c r="A75" s="1002" t="s">
        <v>84</v>
      </c>
      <c r="B75" s="1003" t="s">
        <v>57</v>
      </c>
      <c r="C75" s="1018" t="s">
        <v>331</v>
      </c>
      <c r="D75" s="1003" t="s">
        <v>618</v>
      </c>
      <c r="E75" s="1014"/>
      <c r="F75" s="1014"/>
      <c r="G75" s="1003" t="s">
        <v>583</v>
      </c>
      <c r="H75" s="1053">
        <v>-0.2</v>
      </c>
      <c r="I75" s="1053">
        <v>-0.45</v>
      </c>
      <c r="J75" s="1053">
        <v>-0.2</v>
      </c>
      <c r="K75" s="1053">
        <v>-0.45</v>
      </c>
      <c r="L75" s="1003" t="s">
        <v>579</v>
      </c>
      <c r="M75" s="1003">
        <v>2030</v>
      </c>
      <c r="N75" s="1003">
        <f>$R75</f>
        <v>850</v>
      </c>
      <c r="O75" s="1055"/>
      <c r="P75" s="1003"/>
      <c r="Q75" s="1003" t="s">
        <v>2513</v>
      </c>
      <c r="R75" s="1003">
        <v>850</v>
      </c>
      <c r="S75" s="1003"/>
      <c r="T75" s="1003"/>
      <c r="U75" s="1003"/>
      <c r="V75" s="1003"/>
      <c r="W75" s="1009"/>
      <c r="X75" s="1009">
        <f>$AB75</f>
        <v>350</v>
      </c>
      <c r="Y75" s="1003" t="s">
        <v>2513</v>
      </c>
      <c r="Z75" s="1003"/>
      <c r="AA75" s="1014">
        <v>459.05540000000002</v>
      </c>
      <c r="AB75" s="1003">
        <v>350</v>
      </c>
      <c r="AC75" s="1003"/>
      <c r="AD75" s="1003"/>
      <c r="AE75" s="1012">
        <f t="shared" si="21"/>
        <v>1.0325505778192287E-2</v>
      </c>
      <c r="AF75" s="1003"/>
      <c r="AG75" s="1003"/>
      <c r="AH75" s="1005">
        <v>2030</v>
      </c>
      <c r="AI75" s="1003">
        <f>$N75</f>
        <v>850</v>
      </c>
      <c r="AJ75" s="1013">
        <f t="shared" si="18"/>
        <v>1.9428571428571428</v>
      </c>
      <c r="AK75" s="1013">
        <f t="shared" si="23"/>
        <v>1.3357142857142859</v>
      </c>
      <c r="AL75" s="1013" t="str">
        <f t="shared" si="12"/>
        <v/>
      </c>
      <c r="AM75" s="1013"/>
      <c r="AN75" s="1014">
        <f t="shared" si="24"/>
        <v>680</v>
      </c>
      <c r="AO75" s="1010">
        <f t="shared" si="25"/>
        <v>467.50000000000006</v>
      </c>
      <c r="AP75" s="1014"/>
      <c r="AQ75" s="1019"/>
      <c r="AR75" s="1019"/>
      <c r="AS75" s="1019"/>
      <c r="AT75" s="1019"/>
      <c r="AU75" s="1019"/>
      <c r="AV75" s="1019"/>
      <c r="AW75" s="1019"/>
      <c r="AX75" s="1019"/>
      <c r="AY75" s="1003" t="s">
        <v>674</v>
      </c>
      <c r="AZ75" s="1056"/>
    </row>
    <row r="76" spans="1:54" x14ac:dyDescent="0.25">
      <c r="A76" s="992" t="s">
        <v>81</v>
      </c>
      <c r="B76" s="993" t="s">
        <v>57</v>
      </c>
      <c r="C76" s="994" t="s">
        <v>80</v>
      </c>
      <c r="D76" s="993"/>
      <c r="E76" s="995"/>
      <c r="F76" s="995"/>
      <c r="G76" s="993"/>
      <c r="H76" s="993"/>
      <c r="I76" s="993" t="s">
        <v>675</v>
      </c>
      <c r="J76" s="993"/>
      <c r="K76" s="993" t="s">
        <v>675</v>
      </c>
      <c r="L76" s="993" t="s">
        <v>597</v>
      </c>
      <c r="M76" s="993">
        <v>2005</v>
      </c>
      <c r="N76" s="995">
        <f>$V76</f>
        <v>0.13969999999999999</v>
      </c>
      <c r="O76" s="995"/>
      <c r="P76" s="993"/>
      <c r="Q76" s="993" t="s">
        <v>580</v>
      </c>
      <c r="R76" s="993"/>
      <c r="S76" s="993"/>
      <c r="T76" s="995"/>
      <c r="U76" s="995"/>
      <c r="V76" s="995">
        <v>0.13969999999999999</v>
      </c>
      <c r="W76" s="996"/>
      <c r="X76" s="996">
        <f>$AA76</f>
        <v>0.16889999999999999</v>
      </c>
      <c r="Y76" s="993" t="s">
        <v>580</v>
      </c>
      <c r="Z76" s="995"/>
      <c r="AA76" s="995">
        <v>0.16889999999999999</v>
      </c>
      <c r="AB76" s="993"/>
      <c r="AC76" s="997"/>
      <c r="AD76" s="997"/>
      <c r="AE76" s="997" t="str">
        <f t="shared" si="21"/>
        <v>&lt;0.1%</v>
      </c>
      <c r="AF76" s="997"/>
      <c r="AG76" s="997"/>
      <c r="AH76" s="998">
        <v>2030</v>
      </c>
      <c r="AI76" s="993"/>
      <c r="AJ76" s="999">
        <f t="shared" si="18"/>
        <v>0.82711663706335103</v>
      </c>
      <c r="AK76" s="999">
        <f t="shared" si="23"/>
        <v>0.62860864416814677</v>
      </c>
      <c r="AL76" s="999" t="str">
        <f t="shared" si="12"/>
        <v/>
      </c>
      <c r="AM76" s="999"/>
      <c r="AN76" s="995">
        <f t="shared" si="24"/>
        <v>0.13969999999999999</v>
      </c>
      <c r="AO76" s="1000">
        <f t="shared" si="25"/>
        <v>0.10617199999999999</v>
      </c>
      <c r="AP76" s="995"/>
      <c r="AQ76" s="1017"/>
      <c r="AR76" s="1017"/>
      <c r="AS76" s="1017"/>
      <c r="AT76" s="1017"/>
      <c r="AU76" s="1017"/>
      <c r="AV76" s="1017"/>
      <c r="AW76" s="1017"/>
      <c r="AX76" s="1017"/>
      <c r="AY76" s="993"/>
      <c r="AZ76" s="993"/>
    </row>
    <row r="77" spans="1:54" x14ac:dyDescent="0.25">
      <c r="A77" s="1002" t="s">
        <v>73</v>
      </c>
      <c r="B77" s="1003" t="s">
        <v>57</v>
      </c>
      <c r="C77" s="1004" t="s">
        <v>19</v>
      </c>
      <c r="D77" s="1003" t="s">
        <v>582</v>
      </c>
      <c r="E77" s="1003" t="s">
        <v>687</v>
      </c>
      <c r="F77" s="1014" t="s">
        <v>493</v>
      </c>
      <c r="G77" s="1003" t="s">
        <v>583</v>
      </c>
      <c r="H77" s="1003"/>
      <c r="I77" s="1003"/>
      <c r="J77" s="1003"/>
      <c r="K77" s="1003"/>
      <c r="L77" s="1003" t="s">
        <v>676</v>
      </c>
      <c r="M77" s="1003"/>
      <c r="N77" s="1010"/>
      <c r="O77" s="1010"/>
      <c r="P77" s="1008"/>
      <c r="Q77" s="1008"/>
      <c r="R77" s="1008"/>
      <c r="S77" s="1008"/>
      <c r="T77" s="1010"/>
      <c r="U77" s="1010"/>
      <c r="V77" s="1010" t="s">
        <v>2401</v>
      </c>
      <c r="W77" s="1011">
        <f>'History GHG emissions G20'!C78*10^-3</f>
        <v>479.63512730000002</v>
      </c>
      <c r="X77" s="1011">
        <f>'History GHG emissions G20'!E78*10^-3</f>
        <v>519.67565519999994</v>
      </c>
      <c r="Y77" s="1008" t="s">
        <v>2088</v>
      </c>
      <c r="Z77" s="1014"/>
      <c r="AA77" s="1014">
        <v>460.74849999999998</v>
      </c>
      <c r="AB77" s="1003"/>
      <c r="AC77" s="1069">
        <f>'History GHG emissions G20'!J78*10^-3</f>
        <v>1.1741273000000001</v>
      </c>
      <c r="AD77" s="1069">
        <f>'History GHG emissions G20'!N78*10^-3</f>
        <v>1.1496552</v>
      </c>
      <c r="AE77" s="1012">
        <f t="shared" si="21"/>
        <v>1.0363588575678291E-2</v>
      </c>
      <c r="AF77" s="1012"/>
      <c r="AG77" s="1012"/>
      <c r="AH77" s="1070">
        <v>2030</v>
      </c>
      <c r="AI77" s="1003"/>
      <c r="AJ77" s="1013">
        <f t="shared" si="18"/>
        <v>1.1815061834360874</v>
      </c>
      <c r="AK77" s="1047">
        <f t="shared" si="23"/>
        <v>0.76586231434456475</v>
      </c>
      <c r="AL77" s="1013" t="str">
        <f t="shared" si="12"/>
        <v/>
      </c>
      <c r="AM77" s="1013"/>
      <c r="AN77" s="1014">
        <v>614</v>
      </c>
      <c r="AO77" s="1014">
        <v>398</v>
      </c>
      <c r="AP77" s="1014" t="str">
        <f>IF($N77="","",$N77/$AF77*(1+$K77)*$AG77)</f>
        <v/>
      </c>
      <c r="AQ77" s="1015">
        <f>10^-3*(518239-544314)</f>
        <v>-26.074999999999999</v>
      </c>
      <c r="AR77" s="1015"/>
      <c r="AS77" s="1016">
        <f>$AW77/$W77</f>
        <v>1.0549686025884202</v>
      </c>
      <c r="AT77" s="1083">
        <f>$AX77/($W77-$AC77)</f>
        <v>1.1120551100298666</v>
      </c>
      <c r="AU77" s="1016">
        <f>$AW77/$X77</f>
        <v>0.97368424889032601</v>
      </c>
      <c r="AV77" s="1083">
        <f>$AX77/($X77-$AD77)</f>
        <v>1.0261298372694909</v>
      </c>
      <c r="AW77" s="1011">
        <f>(398+614)/2</f>
        <v>506</v>
      </c>
      <c r="AX77" s="1011">
        <f>$AW77-$AQ77</f>
        <v>532.07500000000005</v>
      </c>
      <c r="AY77" s="1003" t="s">
        <v>1741</v>
      </c>
      <c r="AZ77" s="1003"/>
      <c r="BA77" s="8" t="s">
        <v>1663</v>
      </c>
      <c r="BB77" s="274" t="s">
        <v>1658</v>
      </c>
    </row>
    <row r="78" spans="1:54" ht="15" customHeight="1" x14ac:dyDescent="0.25">
      <c r="A78" s="992" t="s">
        <v>66</v>
      </c>
      <c r="B78" s="993" t="s">
        <v>57</v>
      </c>
      <c r="C78" s="994" t="s">
        <v>65</v>
      </c>
      <c r="D78" s="993"/>
      <c r="E78" s="995"/>
      <c r="F78" s="995"/>
      <c r="G78" s="993"/>
      <c r="H78" s="993"/>
      <c r="I78" s="993" t="s">
        <v>677</v>
      </c>
      <c r="J78" s="993" t="s">
        <v>594</v>
      </c>
      <c r="K78" s="993" t="s">
        <v>610</v>
      </c>
      <c r="L78" s="993" t="s">
        <v>579</v>
      </c>
      <c r="M78" s="993">
        <v>2030</v>
      </c>
      <c r="N78" s="995">
        <v>145</v>
      </c>
      <c r="O78" s="995"/>
      <c r="P78" s="993"/>
      <c r="Q78" s="993" t="s">
        <v>2513</v>
      </c>
      <c r="R78" s="993"/>
      <c r="S78" s="993"/>
      <c r="T78" s="995"/>
      <c r="U78" s="995"/>
      <c r="V78" s="995" t="s">
        <v>2401</v>
      </c>
      <c r="W78" s="996"/>
      <c r="X78" s="996">
        <v>100</v>
      </c>
      <c r="Y78" s="993" t="s">
        <v>2513</v>
      </c>
      <c r="Z78" s="995"/>
      <c r="AA78" s="995">
        <v>169.27709999999999</v>
      </c>
      <c r="AB78" s="993"/>
      <c r="AC78" s="993"/>
      <c r="AD78" s="993"/>
      <c r="AE78" s="997">
        <f t="shared" si="21"/>
        <v>3.8075397308595725E-3</v>
      </c>
      <c r="AF78" s="997"/>
      <c r="AG78" s="997"/>
      <c r="AH78" s="998">
        <v>2030</v>
      </c>
      <c r="AI78" s="993"/>
      <c r="AJ78" s="999">
        <f t="shared" si="18"/>
        <v>1.3049999999999999</v>
      </c>
      <c r="AK78" s="999">
        <f t="shared" si="23"/>
        <v>1.1599999999999999</v>
      </c>
      <c r="AL78" s="999" t="str">
        <f t="shared" si="12"/>
        <v/>
      </c>
      <c r="AM78" s="999"/>
      <c r="AN78" s="995">
        <f>IF($N78="","",$N78*(1+$J78))</f>
        <v>130.5</v>
      </c>
      <c r="AO78" s="1000">
        <f>IF($N78="","",$N78*(1+$K78))</f>
        <v>116</v>
      </c>
      <c r="AP78" s="995"/>
      <c r="AQ78" s="1017"/>
      <c r="AR78" s="1017"/>
      <c r="AS78" s="1017"/>
      <c r="AT78" s="1017"/>
      <c r="AU78" s="1017"/>
      <c r="AV78" s="1017"/>
      <c r="AW78" s="1017"/>
      <c r="AX78" s="1017"/>
      <c r="AY78" s="1057"/>
      <c r="AZ78" s="1020"/>
    </row>
    <row r="79" spans="1:54" ht="15" customHeight="1" x14ac:dyDescent="0.25">
      <c r="A79" s="1002" t="s">
        <v>62</v>
      </c>
      <c r="B79" s="1003" t="s">
        <v>57</v>
      </c>
      <c r="C79" s="1018" t="s">
        <v>61</v>
      </c>
      <c r="D79" s="1003" t="s">
        <v>582</v>
      </c>
      <c r="E79" s="1014"/>
      <c r="F79" s="1014"/>
      <c r="G79" s="1003" t="s">
        <v>583</v>
      </c>
      <c r="H79" s="1003" t="s">
        <v>670</v>
      </c>
      <c r="I79" s="1003" t="s">
        <v>678</v>
      </c>
      <c r="J79" s="1003" t="s">
        <v>670</v>
      </c>
      <c r="K79" s="1003" t="s">
        <v>641</v>
      </c>
      <c r="L79" s="1003" t="s">
        <v>679</v>
      </c>
      <c r="M79" s="1003">
        <v>2010</v>
      </c>
      <c r="N79" s="1014">
        <f>$R79</f>
        <v>28.3</v>
      </c>
      <c r="O79" s="1014"/>
      <c r="P79" s="1003"/>
      <c r="Q79" s="1003" t="s">
        <v>2513</v>
      </c>
      <c r="R79" s="1003">
        <v>28.3</v>
      </c>
      <c r="S79" s="1003"/>
      <c r="T79" s="1014"/>
      <c r="U79" s="1014"/>
      <c r="V79" s="1014">
        <v>34.770699999999998</v>
      </c>
      <c r="W79" s="1009"/>
      <c r="X79" s="1009">
        <f>$AA79</f>
        <v>34.770699999999998</v>
      </c>
      <c r="Y79" s="1003" t="s">
        <v>580</v>
      </c>
      <c r="Z79" s="1014"/>
      <c r="AA79" s="1014">
        <v>34.770699999999998</v>
      </c>
      <c r="AB79" s="1003"/>
      <c r="AC79" s="1003"/>
      <c r="AD79" s="1003"/>
      <c r="AE79" s="1012" t="str">
        <f t="shared" si="21"/>
        <v>&lt;0.1%</v>
      </c>
      <c r="AF79" s="1055">
        <v>52.310536044362287</v>
      </c>
      <c r="AG79" s="1055">
        <v>132.5</v>
      </c>
      <c r="AH79" s="1005">
        <v>2030</v>
      </c>
      <c r="AI79" s="1003">
        <v>68.2</v>
      </c>
      <c r="AJ79" s="1013">
        <f t="shared" si="18"/>
        <v>1.7935726056708667</v>
      </c>
      <c r="AK79" s="1013">
        <f t="shared" si="23"/>
        <v>1.2163308475239214</v>
      </c>
      <c r="AL79" s="1013">
        <f t="shared" si="12"/>
        <v>1.185717725038093</v>
      </c>
      <c r="AM79" s="1013"/>
      <c r="AN79" s="1014">
        <f>IF($N79="","",$N79/$AF79*(1+$J79)*$AG79)</f>
        <v>62.363775000000004</v>
      </c>
      <c r="AO79" s="1010">
        <f>IF($N79="","",$N79/$AF79*(1+$K79)*$AG79)</f>
        <v>42.29267500000001</v>
      </c>
      <c r="AP79" s="1014">
        <v>41.228235301982018</v>
      </c>
      <c r="AQ79" s="1019"/>
      <c r="AR79" s="1019"/>
      <c r="AS79" s="1019"/>
      <c r="AT79" s="1019"/>
      <c r="AU79" s="1019"/>
      <c r="AV79" s="1019"/>
      <c r="AW79" s="1019"/>
      <c r="AX79" s="1019"/>
      <c r="AY79" s="1003" t="s">
        <v>2560</v>
      </c>
      <c r="AZ79" s="1003"/>
    </row>
    <row r="80" spans="1:54" x14ac:dyDescent="0.25">
      <c r="A80" s="992" t="s">
        <v>60</v>
      </c>
      <c r="B80" s="993" t="s">
        <v>57</v>
      </c>
      <c r="C80" s="994" t="s">
        <v>59</v>
      </c>
      <c r="D80" s="993" t="s">
        <v>618</v>
      </c>
      <c r="E80" s="995"/>
      <c r="F80" s="995"/>
      <c r="G80" s="993" t="s">
        <v>680</v>
      </c>
      <c r="H80" s="993" t="s">
        <v>611</v>
      </c>
      <c r="I80" s="993" t="s">
        <v>681</v>
      </c>
      <c r="J80" s="993" t="s">
        <v>611</v>
      </c>
      <c r="K80" s="993" t="s">
        <v>681</v>
      </c>
      <c r="L80" s="993" t="s">
        <v>613</v>
      </c>
      <c r="M80" s="998">
        <v>2010</v>
      </c>
      <c r="N80" s="995">
        <f>$V80</f>
        <v>121.68559999999999</v>
      </c>
      <c r="O80" s="995"/>
      <c r="P80" s="993"/>
      <c r="Q80" s="993"/>
      <c r="R80" s="993"/>
      <c r="S80" s="993"/>
      <c r="T80" s="995"/>
      <c r="U80" s="995"/>
      <c r="V80" s="995">
        <v>121.68559999999999</v>
      </c>
      <c r="W80" s="996"/>
      <c r="X80" s="996">
        <f>$AA80</f>
        <v>121.68559999999999</v>
      </c>
      <c r="Y80" s="993" t="s">
        <v>580</v>
      </c>
      <c r="Z80" s="995"/>
      <c r="AA80" s="995">
        <v>121.68559999999999</v>
      </c>
      <c r="AB80" s="993"/>
      <c r="AC80" s="993"/>
      <c r="AD80" s="993"/>
      <c r="AE80" s="997">
        <f t="shared" si="21"/>
        <v>2.7370669551491935E-3</v>
      </c>
      <c r="AF80" s="997"/>
      <c r="AG80" s="997"/>
      <c r="AH80" s="998">
        <v>2030</v>
      </c>
      <c r="AI80" s="993"/>
      <c r="AJ80" s="999">
        <f t="shared" si="18"/>
        <v>0.74999999999999989</v>
      </c>
      <c r="AK80" s="999">
        <f t="shared" si="23"/>
        <v>0.53</v>
      </c>
      <c r="AL80" s="999" t="str">
        <f t="shared" si="12"/>
        <v/>
      </c>
      <c r="AM80" s="999"/>
      <c r="AN80" s="995">
        <f>IF($N80="","",$N80*(1+$J80))</f>
        <v>91.264199999999988</v>
      </c>
      <c r="AO80" s="1000">
        <f>IF($N80="","",$N80*(1+$K80))</f>
        <v>64.493368000000004</v>
      </c>
      <c r="AP80" s="995"/>
      <c r="AQ80" s="1017"/>
      <c r="AR80" s="1017"/>
      <c r="AS80" s="1017"/>
      <c r="AT80" s="1017"/>
      <c r="AU80" s="1017"/>
      <c r="AV80" s="1017"/>
      <c r="AW80" s="1017"/>
      <c r="AX80" s="1017"/>
      <c r="AY80" s="1057"/>
      <c r="AZ80" s="1020"/>
    </row>
    <row r="81" spans="1:54" x14ac:dyDescent="0.25">
      <c r="A81" s="955" t="s">
        <v>328</v>
      </c>
      <c r="B81" s="964" t="s">
        <v>329</v>
      </c>
      <c r="C81" s="320" t="s">
        <v>329</v>
      </c>
      <c r="D81" s="319"/>
      <c r="E81" s="956" t="s">
        <v>493</v>
      </c>
      <c r="F81" s="956"/>
      <c r="G81" s="319"/>
      <c r="H81" s="319"/>
      <c r="I81" s="319"/>
      <c r="J81" s="319"/>
      <c r="K81" s="319"/>
      <c r="L81" s="319"/>
      <c r="M81" s="319"/>
      <c r="N81" s="965"/>
      <c r="O81" s="967"/>
      <c r="P81" s="965"/>
      <c r="Q81" s="965"/>
      <c r="R81" s="965"/>
      <c r="S81" s="965"/>
      <c r="T81" s="961"/>
      <c r="U81" s="961"/>
      <c r="V81" s="961" t="s">
        <v>2401</v>
      </c>
      <c r="W81" s="966">
        <f>'History GHG emissions G20'!C82*10^-3</f>
        <v>44927.726618500004</v>
      </c>
      <c r="X81" s="966">
        <f>'History GHG emissions G20'!E82*10^-3</f>
        <v>48015.187519400002</v>
      </c>
      <c r="Y81" s="965" t="s">
        <v>2088</v>
      </c>
      <c r="Z81" s="319"/>
      <c r="AA81" s="956">
        <v>44458.393599424053</v>
      </c>
      <c r="AB81" s="319"/>
      <c r="AC81" s="966">
        <f>'History GHG emissions G20'!J82*10^-3</f>
        <v>3837.7266184999999</v>
      </c>
      <c r="AD81" s="966">
        <f>'History GHG emissions G20'!N82*10^-3</f>
        <v>2615.1875194000004</v>
      </c>
      <c r="AE81" s="962">
        <f t="shared" si="21"/>
        <v>1</v>
      </c>
      <c r="AF81" s="962"/>
      <c r="AG81" s="962"/>
      <c r="AH81" s="958"/>
      <c r="AI81" s="319"/>
      <c r="AJ81" s="960" t="str">
        <f t="shared" si="18"/>
        <v/>
      </c>
      <c r="AK81" s="960" t="str">
        <f t="shared" si="23"/>
        <v/>
      </c>
      <c r="AL81" s="960" t="str">
        <f t="shared" si="12"/>
        <v/>
      </c>
      <c r="AM81" s="960"/>
      <c r="AN81" s="956"/>
      <c r="AO81" s="956"/>
      <c r="AP81" s="956" t="str">
        <f>IF($N81="","",$N81/$AF81*(1+$K81)*$AG81)</f>
        <v/>
      </c>
      <c r="AQ81" s="957"/>
      <c r="AR81" s="957"/>
      <c r="AS81" s="957"/>
      <c r="AT81" s="957"/>
      <c r="AU81" s="957"/>
      <c r="AV81" s="957"/>
      <c r="AW81" s="319"/>
      <c r="AX81" s="319"/>
      <c r="AY81" s="319"/>
      <c r="AZ81" s="959"/>
    </row>
    <row r="82" spans="1:54" x14ac:dyDescent="0.25">
      <c r="C82" s="12"/>
      <c r="D82" s="536"/>
      <c r="E82" s="27"/>
      <c r="G82" s="536"/>
      <c r="H82" s="26"/>
      <c r="J82" s="536"/>
      <c r="K82" s="536"/>
      <c r="M82" s="536"/>
      <c r="O82" s="536"/>
      <c r="Q82" s="536"/>
      <c r="R82" s="536"/>
      <c r="S82" s="536"/>
      <c r="U82" s="536"/>
      <c r="V82" s="536"/>
      <c r="W82" s="536"/>
      <c r="X82" s="536"/>
      <c r="Y82" s="536"/>
      <c r="Z82" s="536"/>
      <c r="AA82" s="536"/>
      <c r="AB82" s="536"/>
      <c r="AC82" s="536"/>
      <c r="AD82" s="536"/>
      <c r="AE82" s="536"/>
      <c r="AF82" s="27">
        <f>SUM(AA3:AA80)</f>
        <v>40370.186000000023</v>
      </c>
      <c r="AG82" s="536"/>
      <c r="AH82" s="28">
        <f>AF82/AA81</f>
        <v>0.90804418989450419</v>
      </c>
      <c r="AI82" s="28"/>
      <c r="AJ82" s="28"/>
      <c r="AL82" s="21"/>
      <c r="AN82" s="27">
        <f>SUM(AN3:AN80)</f>
        <v>44969.150333548969</v>
      </c>
      <c r="AO82" s="27">
        <f>SUM(AO3:AO80)</f>
        <v>41027.038102265498</v>
      </c>
      <c r="AW82" s="536"/>
      <c r="AX82" s="27"/>
      <c r="AY82" s="27"/>
    </row>
    <row r="83" spans="1:54" x14ac:dyDescent="0.25">
      <c r="C83" s="321" t="s">
        <v>1737</v>
      </c>
      <c r="E83" s="20"/>
      <c r="AO83" s="20">
        <f>AN82-AO82</f>
        <v>3942.1122312834705</v>
      </c>
      <c r="BA83" s="534" t="s">
        <v>1644</v>
      </c>
    </row>
    <row r="84" spans="1:54" x14ac:dyDescent="0.25">
      <c r="BA84" s="534" t="s">
        <v>1655</v>
      </c>
    </row>
    <row r="85" spans="1:54" x14ac:dyDescent="0.25">
      <c r="BA85" s="11" t="s">
        <v>1645</v>
      </c>
      <c r="BB85" s="11"/>
    </row>
    <row r="86" spans="1:54" x14ac:dyDescent="0.25">
      <c r="BA86" s="534" t="s">
        <v>1646</v>
      </c>
    </row>
    <row r="87" spans="1:54" x14ac:dyDescent="0.25">
      <c r="BA87" s="534" t="s">
        <v>1647</v>
      </c>
    </row>
    <row r="89" spans="1:54" x14ac:dyDescent="0.25">
      <c r="BA89" s="534" t="s">
        <v>1650</v>
      </c>
    </row>
    <row r="90" spans="1:54" x14ac:dyDescent="0.25">
      <c r="BA90" s="534">
        <v>2015</v>
      </c>
    </row>
    <row r="91" spans="1:54" x14ac:dyDescent="0.25">
      <c r="BA91" s="11" t="s">
        <v>1651</v>
      </c>
      <c r="BB91" s="11"/>
    </row>
    <row r="92" spans="1:54" x14ac:dyDescent="0.25">
      <c r="BA92" s="534" t="s">
        <v>1652</v>
      </c>
    </row>
    <row r="93" spans="1:54" x14ac:dyDescent="0.25">
      <c r="BA93" s="534" t="s">
        <v>1653</v>
      </c>
    </row>
    <row r="94" spans="1:54" x14ac:dyDescent="0.25">
      <c r="BA94" s="272" t="s">
        <v>1654</v>
      </c>
      <c r="BB94" s="272"/>
    </row>
    <row r="96" spans="1:54" x14ac:dyDescent="0.25">
      <c r="BA96" s="534" t="s">
        <v>1665</v>
      </c>
    </row>
    <row r="97" spans="53:53" x14ac:dyDescent="0.25">
      <c r="BA97" s="534" t="s">
        <v>1666</v>
      </c>
    </row>
    <row r="98" spans="53:53" x14ac:dyDescent="0.25">
      <c r="BA98" s="534" t="s">
        <v>1667</v>
      </c>
    </row>
    <row r="99" spans="53:53" x14ac:dyDescent="0.25">
      <c r="BA99" s="534" t="s">
        <v>1668</v>
      </c>
    </row>
    <row r="100" spans="53:53" x14ac:dyDescent="0.25">
      <c r="BA100" s="534" t="s">
        <v>1669</v>
      </c>
    </row>
    <row r="101" spans="53:53" x14ac:dyDescent="0.25">
      <c r="BA101" s="534" t="s">
        <v>1670</v>
      </c>
    </row>
  </sheetData>
  <hyperlinks>
    <hyperlink ref="BA16" r:id="rId1" xr:uid="{00000000-0004-0000-0900-000000000000}"/>
    <hyperlink ref="BA58" r:id="rId2" xr:uid="{00000000-0004-0000-0900-000001000000}"/>
    <hyperlink ref="BA77" r:id="rId3" xr:uid="{00000000-0004-0000-0900-000002000000}"/>
    <hyperlink ref="BA38" r:id="rId4" xr:uid="{00000000-0004-0000-0900-000003000000}"/>
    <hyperlink ref="BD38" r:id="rId5" display="http://apki.net/wp-content/uploads/2015/07/Presentasi-INDC-BAPPENAS-di-KLHK.pptx" xr:uid="{00000000-0004-0000-0900-000004000000}"/>
  </hyperlinks>
  <pageMargins left="0.7" right="0.7" top="0.75" bottom="0.75" header="0.3" footer="0.3"/>
  <pageSetup paperSize="9" orientation="portrait" r:id="rId6"/>
  <legacyDrawing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07"/>
  <sheetViews>
    <sheetView workbookViewId="0"/>
  </sheetViews>
  <sheetFormatPr defaultRowHeight="15" x14ac:dyDescent="0.25"/>
  <cols>
    <col min="1" max="1" width="9.140625" style="385"/>
    <col min="2" max="2" width="9.28515625" style="385" customWidth="1"/>
    <col min="3" max="3" width="24.42578125" style="24" bestFit="1" customWidth="1"/>
    <col min="4" max="4" width="9.28515625" style="24" customWidth="1"/>
    <col min="5" max="5" width="12.28515625" style="24" customWidth="1"/>
    <col min="6" max="6" width="68.140625" style="669" customWidth="1"/>
    <col min="7" max="7" width="107.85546875" style="385" customWidth="1"/>
    <col min="8" max="16384" width="9.140625" style="385"/>
  </cols>
  <sheetData>
    <row r="1" spans="1:7" ht="30" x14ac:dyDescent="0.25">
      <c r="A1" s="1124" t="s">
        <v>325</v>
      </c>
      <c r="B1" s="1125" t="s">
        <v>324</v>
      </c>
      <c r="C1" s="1125" t="s">
        <v>323</v>
      </c>
      <c r="D1" s="1125" t="s">
        <v>322</v>
      </c>
      <c r="E1" s="1125" t="s">
        <v>321</v>
      </c>
      <c r="F1" s="1126" t="s">
        <v>320</v>
      </c>
      <c r="G1" s="1071" t="s">
        <v>690</v>
      </c>
    </row>
    <row r="2" spans="1:7" x14ac:dyDescent="0.25">
      <c r="A2" s="1127"/>
      <c r="B2" s="1128" t="s">
        <v>304</v>
      </c>
      <c r="C2" s="1064"/>
      <c r="D2" s="1064"/>
      <c r="E2" s="1064"/>
      <c r="F2" s="1129"/>
      <c r="G2" s="1072"/>
    </row>
    <row r="3" spans="1:7" x14ac:dyDescent="0.25">
      <c r="A3" s="1130" t="s">
        <v>319</v>
      </c>
      <c r="B3" s="998" t="s">
        <v>304</v>
      </c>
      <c r="C3" s="1131" t="s">
        <v>24</v>
      </c>
      <c r="D3" s="1131"/>
      <c r="E3" s="1131"/>
      <c r="F3" s="1132"/>
      <c r="G3" s="1072"/>
    </row>
    <row r="4" spans="1:7" x14ac:dyDescent="0.25">
      <c r="A4" s="1133" t="s">
        <v>318</v>
      </c>
      <c r="B4" s="1005" t="s">
        <v>304</v>
      </c>
      <c r="C4" s="1064" t="s">
        <v>25</v>
      </c>
      <c r="D4" s="1064"/>
      <c r="E4" s="1064"/>
      <c r="F4" s="1129"/>
      <c r="G4" s="1072"/>
    </row>
    <row r="5" spans="1:7" x14ac:dyDescent="0.25">
      <c r="A5" s="1130" t="s">
        <v>317</v>
      </c>
      <c r="B5" s="998" t="s">
        <v>304</v>
      </c>
      <c r="C5" s="1131" t="s">
        <v>316</v>
      </c>
      <c r="D5" s="1131"/>
      <c r="E5" s="1131"/>
      <c r="F5" s="1132"/>
      <c r="G5" s="1072"/>
    </row>
    <row r="6" spans="1:7" x14ac:dyDescent="0.25">
      <c r="A6" s="1133" t="s">
        <v>23</v>
      </c>
      <c r="B6" s="1005" t="s">
        <v>304</v>
      </c>
      <c r="C6" s="1064" t="s">
        <v>13</v>
      </c>
      <c r="D6" s="1064">
        <v>2030</v>
      </c>
      <c r="E6" s="1064" t="s">
        <v>32</v>
      </c>
      <c r="F6" s="1134"/>
      <c r="G6" s="1072"/>
    </row>
    <row r="7" spans="1:7" x14ac:dyDescent="0.25">
      <c r="A7" s="1130"/>
      <c r="B7" s="998"/>
      <c r="C7" s="1131" t="s">
        <v>13</v>
      </c>
      <c r="D7" s="1131">
        <v>2030</v>
      </c>
      <c r="E7" s="1131" t="s">
        <v>32</v>
      </c>
      <c r="F7" s="1135"/>
      <c r="G7" s="1072"/>
    </row>
    <row r="8" spans="1:7" x14ac:dyDescent="0.25">
      <c r="A8" s="1133" t="s">
        <v>315</v>
      </c>
      <c r="B8" s="1005" t="s">
        <v>304</v>
      </c>
      <c r="C8" s="1064" t="s">
        <v>26</v>
      </c>
      <c r="D8" s="1064"/>
      <c r="E8" s="1064"/>
      <c r="F8" s="1136"/>
      <c r="G8" s="1072"/>
    </row>
    <row r="9" spans="1:7" x14ac:dyDescent="0.25">
      <c r="A9" s="1130" t="s">
        <v>314</v>
      </c>
      <c r="B9" s="998" t="s">
        <v>304</v>
      </c>
      <c r="C9" s="1131" t="s">
        <v>27</v>
      </c>
      <c r="D9" s="1131"/>
      <c r="E9" s="1131"/>
      <c r="F9" s="1132"/>
      <c r="G9" s="1072"/>
    </row>
    <row r="10" spans="1:7" x14ac:dyDescent="0.25">
      <c r="A10" s="1133" t="s">
        <v>313</v>
      </c>
      <c r="B10" s="1005" t="s">
        <v>304</v>
      </c>
      <c r="C10" s="1064" t="s">
        <v>312</v>
      </c>
      <c r="D10" s="1064"/>
      <c r="E10" s="1064"/>
      <c r="F10" s="1129"/>
      <c r="G10" s="1072"/>
    </row>
    <row r="11" spans="1:7" x14ac:dyDescent="0.25">
      <c r="A11" s="1130" t="s">
        <v>311</v>
      </c>
      <c r="B11" s="998" t="s">
        <v>304</v>
      </c>
      <c r="C11" s="1131" t="s">
        <v>310</v>
      </c>
      <c r="D11" s="1131"/>
      <c r="E11" s="1131"/>
      <c r="F11" s="1132"/>
      <c r="G11" s="1072"/>
    </row>
    <row r="12" spans="1:7" x14ac:dyDescent="0.25">
      <c r="A12" s="1133" t="s">
        <v>309</v>
      </c>
      <c r="B12" s="1005" t="s">
        <v>304</v>
      </c>
      <c r="C12" s="1064" t="s">
        <v>28</v>
      </c>
      <c r="D12" s="1064"/>
      <c r="E12" s="1064"/>
      <c r="F12" s="1129"/>
      <c r="G12" s="1072"/>
    </row>
    <row r="13" spans="1:7" x14ac:dyDescent="0.25">
      <c r="A13" s="1130" t="s">
        <v>308</v>
      </c>
      <c r="B13" s="998" t="s">
        <v>304</v>
      </c>
      <c r="C13" s="1131" t="s">
        <v>29</v>
      </c>
      <c r="D13" s="1131"/>
      <c r="E13" s="1131"/>
      <c r="F13" s="1132"/>
      <c r="G13" s="1072"/>
    </row>
    <row r="14" spans="1:7" x14ac:dyDescent="0.25">
      <c r="A14" s="1133" t="s">
        <v>307</v>
      </c>
      <c r="B14" s="1005" t="s">
        <v>304</v>
      </c>
      <c r="C14" s="1064" t="s">
        <v>306</v>
      </c>
      <c r="D14" s="1064"/>
      <c r="E14" s="1064"/>
      <c r="F14" s="1129"/>
      <c r="G14" s="1072"/>
    </row>
    <row r="15" spans="1:7" x14ac:dyDescent="0.25">
      <c r="A15" s="1130" t="s">
        <v>305</v>
      </c>
      <c r="B15" s="998" t="s">
        <v>304</v>
      </c>
      <c r="C15" s="1131" t="s">
        <v>30</v>
      </c>
      <c r="D15" s="1131"/>
      <c r="E15" s="1131"/>
      <c r="F15" s="1132"/>
      <c r="G15" s="1072"/>
    </row>
    <row r="16" spans="1:7" x14ac:dyDescent="0.25">
      <c r="A16" s="1133"/>
      <c r="B16" s="1128" t="s">
        <v>303</v>
      </c>
      <c r="C16" s="1064"/>
      <c r="D16" s="1064"/>
      <c r="E16" s="1064"/>
      <c r="F16" s="1129"/>
      <c r="G16" s="1072"/>
    </row>
    <row r="17" spans="1:7" x14ac:dyDescent="0.25">
      <c r="A17" s="1130" t="s">
        <v>302</v>
      </c>
      <c r="B17" s="998" t="s">
        <v>300</v>
      </c>
      <c r="C17" s="1131" t="s">
        <v>18</v>
      </c>
      <c r="D17" s="1131"/>
      <c r="E17" s="1131"/>
      <c r="F17" s="1132"/>
      <c r="G17" s="1072"/>
    </row>
    <row r="18" spans="1:7" x14ac:dyDescent="0.25">
      <c r="A18" s="1133" t="s">
        <v>301</v>
      </c>
      <c r="B18" s="1005" t="s">
        <v>300</v>
      </c>
      <c r="C18" s="1064" t="s">
        <v>15</v>
      </c>
      <c r="D18" s="1064"/>
      <c r="E18" s="1064"/>
      <c r="F18" s="1129"/>
      <c r="G18" s="1072"/>
    </row>
    <row r="19" spans="1:7" x14ac:dyDescent="0.25">
      <c r="A19" s="1130" t="s">
        <v>22</v>
      </c>
      <c r="B19" s="998" t="s">
        <v>300</v>
      </c>
      <c r="C19" s="1131" t="s">
        <v>22</v>
      </c>
      <c r="D19" s="1131"/>
      <c r="E19" s="1131"/>
      <c r="F19" s="1132"/>
      <c r="G19" s="1072"/>
    </row>
    <row r="20" spans="1:7" x14ac:dyDescent="0.25">
      <c r="A20" s="1133"/>
      <c r="B20" s="1128" t="s">
        <v>299</v>
      </c>
      <c r="C20" s="1064"/>
      <c r="D20" s="1064"/>
      <c r="E20" s="1064"/>
      <c r="F20" s="1129"/>
      <c r="G20" s="1072"/>
    </row>
    <row r="21" spans="1:7" x14ac:dyDescent="0.25">
      <c r="A21" s="1130" t="s">
        <v>298</v>
      </c>
      <c r="B21" s="998" t="s">
        <v>253</v>
      </c>
      <c r="C21" s="1131" t="s">
        <v>12</v>
      </c>
      <c r="D21" s="1131"/>
      <c r="E21" s="1131"/>
      <c r="F21" s="1132"/>
      <c r="G21" s="1072"/>
    </row>
    <row r="22" spans="1:7" x14ac:dyDescent="0.25">
      <c r="A22" s="1133" t="s">
        <v>297</v>
      </c>
      <c r="B22" s="1005" t="s">
        <v>253</v>
      </c>
      <c r="C22" s="1064" t="s">
        <v>296</v>
      </c>
      <c r="D22" s="1064"/>
      <c r="E22" s="1064"/>
      <c r="F22" s="1129"/>
      <c r="G22" s="1072"/>
    </row>
    <row r="23" spans="1:7" x14ac:dyDescent="0.25">
      <c r="A23" s="1130" t="s">
        <v>295</v>
      </c>
      <c r="B23" s="998" t="s">
        <v>253</v>
      </c>
      <c r="C23" s="1131" t="s">
        <v>294</v>
      </c>
      <c r="D23" s="1131"/>
      <c r="E23" s="1131"/>
      <c r="F23" s="1132"/>
      <c r="G23" s="1072"/>
    </row>
    <row r="24" spans="1:7" x14ac:dyDescent="0.25">
      <c r="A24" s="1133" t="s">
        <v>293</v>
      </c>
      <c r="B24" s="1005" t="s">
        <v>253</v>
      </c>
      <c r="C24" s="1064" t="s">
        <v>292</v>
      </c>
      <c r="D24" s="1064"/>
      <c r="E24" s="1064"/>
      <c r="F24" s="1129"/>
      <c r="G24" s="1072"/>
    </row>
    <row r="25" spans="1:7" ht="21" customHeight="1" x14ac:dyDescent="0.25">
      <c r="A25" s="1130" t="s">
        <v>291</v>
      </c>
      <c r="B25" s="998" t="s">
        <v>253</v>
      </c>
      <c r="C25" s="1131" t="s">
        <v>0</v>
      </c>
      <c r="D25" s="1131">
        <v>2030</v>
      </c>
      <c r="E25" s="1131" t="s">
        <v>288</v>
      </c>
      <c r="F25" s="1135"/>
      <c r="G25" s="1072"/>
    </row>
    <row r="26" spans="1:7" ht="16.5" customHeight="1" x14ac:dyDescent="0.25">
      <c r="A26" s="1133"/>
      <c r="B26" s="1005"/>
      <c r="C26" s="1064" t="s">
        <v>0</v>
      </c>
      <c r="D26" s="1064">
        <v>2030</v>
      </c>
      <c r="E26" s="1064" t="s">
        <v>288</v>
      </c>
      <c r="F26" s="1137"/>
      <c r="G26" s="1072"/>
    </row>
    <row r="27" spans="1:7" ht="34.5" customHeight="1" x14ac:dyDescent="0.25">
      <c r="A27" s="1130"/>
      <c r="B27" s="998"/>
      <c r="C27" s="1131" t="s">
        <v>0</v>
      </c>
      <c r="D27" s="1131">
        <v>2030</v>
      </c>
      <c r="E27" s="1131" t="s">
        <v>288</v>
      </c>
      <c r="F27" s="1135"/>
      <c r="G27" s="1072"/>
    </row>
    <row r="28" spans="1:7" ht="33" customHeight="1" x14ac:dyDescent="0.25">
      <c r="A28" s="1133"/>
      <c r="B28" s="1005"/>
      <c r="C28" s="1064" t="s">
        <v>0</v>
      </c>
      <c r="D28" s="1064">
        <v>2030</v>
      </c>
      <c r="E28" s="1064" t="s">
        <v>288</v>
      </c>
      <c r="F28" s="1137"/>
      <c r="G28" s="1072"/>
    </row>
    <row r="29" spans="1:7" ht="16.5" customHeight="1" x14ac:dyDescent="0.25">
      <c r="A29" s="1130"/>
      <c r="B29" s="998"/>
      <c r="C29" s="1131" t="s">
        <v>0</v>
      </c>
      <c r="D29" s="1131">
        <v>2030</v>
      </c>
      <c r="E29" s="1131" t="s">
        <v>288</v>
      </c>
      <c r="F29" s="1135"/>
      <c r="G29" s="1072"/>
    </row>
    <row r="30" spans="1:7" ht="16.5" customHeight="1" x14ac:dyDescent="0.25">
      <c r="A30" s="1133"/>
      <c r="B30" s="1005"/>
      <c r="C30" s="1064" t="s">
        <v>0</v>
      </c>
      <c r="D30" s="1064">
        <v>2030</v>
      </c>
      <c r="E30" s="1064" t="s">
        <v>288</v>
      </c>
      <c r="F30" s="1137"/>
      <c r="G30" s="1072"/>
    </row>
    <row r="31" spans="1:7" ht="16.5" customHeight="1" x14ac:dyDescent="0.25">
      <c r="A31" s="1130"/>
      <c r="B31" s="998"/>
      <c r="C31" s="1131" t="s">
        <v>0</v>
      </c>
      <c r="D31" s="1131">
        <v>2030</v>
      </c>
      <c r="E31" s="1131" t="s">
        <v>288</v>
      </c>
      <c r="F31" s="1135"/>
      <c r="G31" s="1072"/>
    </row>
    <row r="32" spans="1:7" x14ac:dyDescent="0.25">
      <c r="A32" s="1133" t="s">
        <v>290</v>
      </c>
      <c r="B32" s="1005" t="s">
        <v>253</v>
      </c>
      <c r="C32" s="1064" t="s">
        <v>289</v>
      </c>
      <c r="D32" s="1064">
        <v>2030</v>
      </c>
      <c r="E32" s="1064" t="s">
        <v>288</v>
      </c>
      <c r="F32" s="1137"/>
      <c r="G32" s="1072" t="s">
        <v>555</v>
      </c>
    </row>
    <row r="33" spans="1:7" x14ac:dyDescent="0.25">
      <c r="A33" s="1130" t="s">
        <v>286</v>
      </c>
      <c r="B33" s="998" t="s">
        <v>253</v>
      </c>
      <c r="C33" s="1131" t="s">
        <v>285</v>
      </c>
      <c r="D33" s="1131"/>
      <c r="E33" s="1131"/>
      <c r="F33" s="1132"/>
      <c r="G33" s="1072"/>
    </row>
    <row r="34" spans="1:7" x14ac:dyDescent="0.25">
      <c r="A34" s="1133" t="s">
        <v>284</v>
      </c>
      <c r="B34" s="1005" t="s">
        <v>253</v>
      </c>
      <c r="C34" s="1064" t="s">
        <v>283</v>
      </c>
      <c r="D34" s="1064"/>
      <c r="E34" s="1064"/>
      <c r="F34" s="1129"/>
      <c r="G34" s="1072"/>
    </row>
    <row r="35" spans="1:7" x14ac:dyDescent="0.25">
      <c r="A35" s="1130" t="s">
        <v>282</v>
      </c>
      <c r="B35" s="998" t="s">
        <v>253</v>
      </c>
      <c r="C35" s="1131" t="s">
        <v>281</v>
      </c>
      <c r="D35" s="1131"/>
      <c r="E35" s="1131"/>
      <c r="F35" s="1132"/>
      <c r="G35" s="1072"/>
    </row>
    <row r="36" spans="1:7" x14ac:dyDescent="0.25">
      <c r="A36" s="1133" t="s">
        <v>280</v>
      </c>
      <c r="B36" s="1005" t="s">
        <v>253</v>
      </c>
      <c r="C36" s="1064" t="s">
        <v>279</v>
      </c>
      <c r="D36" s="1064"/>
      <c r="E36" s="1064"/>
      <c r="F36" s="1129"/>
      <c r="G36" s="1072"/>
    </row>
    <row r="37" spans="1:7" x14ac:dyDescent="0.25">
      <c r="A37" s="1130" t="s">
        <v>278</v>
      </c>
      <c r="B37" s="998" t="s">
        <v>253</v>
      </c>
      <c r="C37" s="1131" t="s">
        <v>276</v>
      </c>
      <c r="D37" s="1131"/>
      <c r="E37" s="1131"/>
      <c r="F37" s="1135"/>
      <c r="G37" s="1072"/>
    </row>
    <row r="38" spans="1:7" x14ac:dyDescent="0.25">
      <c r="A38" s="1133"/>
      <c r="B38" s="1005"/>
      <c r="C38" s="1064" t="s">
        <v>276</v>
      </c>
      <c r="D38" s="1064">
        <v>2025</v>
      </c>
      <c r="E38" s="1064"/>
      <c r="F38" s="1137"/>
      <c r="G38" s="1072"/>
    </row>
    <row r="39" spans="1:7" x14ac:dyDescent="0.25">
      <c r="A39" s="1130" t="s">
        <v>274</v>
      </c>
      <c r="B39" s="998" t="s">
        <v>253</v>
      </c>
      <c r="C39" s="1131" t="s">
        <v>273</v>
      </c>
      <c r="D39" s="1131"/>
      <c r="E39" s="1131"/>
      <c r="F39" s="1132"/>
      <c r="G39" s="1072"/>
    </row>
    <row r="40" spans="1:7" x14ac:dyDescent="0.25">
      <c r="A40" s="1133" t="s">
        <v>272</v>
      </c>
      <c r="B40" s="1005" t="s">
        <v>253</v>
      </c>
      <c r="C40" s="1064" t="s">
        <v>271</v>
      </c>
      <c r="D40" s="1064"/>
      <c r="E40" s="1064"/>
      <c r="F40" s="1129"/>
      <c r="G40" s="1072"/>
    </row>
    <row r="41" spans="1:7" x14ac:dyDescent="0.25">
      <c r="A41" s="1130" t="s">
        <v>270</v>
      </c>
      <c r="B41" s="998" t="s">
        <v>253</v>
      </c>
      <c r="C41" s="1131" t="s">
        <v>269</v>
      </c>
      <c r="D41" s="1131"/>
      <c r="E41" s="1131"/>
      <c r="F41" s="1132"/>
      <c r="G41" s="1072"/>
    </row>
    <row r="42" spans="1:7" x14ac:dyDescent="0.25">
      <c r="A42" s="1133" t="s">
        <v>268</v>
      </c>
      <c r="B42" s="1005" t="s">
        <v>253</v>
      </c>
      <c r="C42" s="1064" t="s">
        <v>267</v>
      </c>
      <c r="D42" s="1064"/>
      <c r="E42" s="1064"/>
      <c r="F42" s="1129"/>
      <c r="G42" s="1072"/>
    </row>
    <row r="43" spans="1:7" x14ac:dyDescent="0.25">
      <c r="A43" s="1130" t="s">
        <v>266</v>
      </c>
      <c r="B43" s="998" t="s">
        <v>253</v>
      </c>
      <c r="C43" s="1131" t="s">
        <v>265</v>
      </c>
      <c r="D43" s="1131"/>
      <c r="E43" s="1131"/>
      <c r="F43" s="1132"/>
      <c r="G43" s="1072"/>
    </row>
    <row r="44" spans="1:7" x14ac:dyDescent="0.25">
      <c r="A44" s="1133" t="s">
        <v>264</v>
      </c>
      <c r="B44" s="1005" t="s">
        <v>253</v>
      </c>
      <c r="C44" s="1064" t="s">
        <v>263</v>
      </c>
      <c r="D44" s="1064"/>
      <c r="E44" s="1064"/>
      <c r="F44" s="1129"/>
      <c r="G44" s="1072"/>
    </row>
    <row r="45" spans="1:7" x14ac:dyDescent="0.25">
      <c r="A45" s="1130" t="s">
        <v>262</v>
      </c>
      <c r="B45" s="998" t="s">
        <v>253</v>
      </c>
      <c r="C45" s="1131" t="s">
        <v>261</v>
      </c>
      <c r="D45" s="1131"/>
      <c r="E45" s="1131"/>
      <c r="F45" s="1132"/>
      <c r="G45" s="1072"/>
    </row>
    <row r="46" spans="1:7" x14ac:dyDescent="0.25">
      <c r="A46" s="1133" t="s">
        <v>260</v>
      </c>
      <c r="B46" s="1005" t="s">
        <v>253</v>
      </c>
      <c r="C46" s="1064" t="s">
        <v>259</v>
      </c>
      <c r="D46" s="1064"/>
      <c r="E46" s="1064"/>
      <c r="F46" s="1129"/>
      <c r="G46" s="1072"/>
    </row>
    <row r="47" spans="1:7" x14ac:dyDescent="0.25">
      <c r="A47" s="1130" t="s">
        <v>258</v>
      </c>
      <c r="B47" s="998" t="s">
        <v>253</v>
      </c>
      <c r="C47" s="1131" t="s">
        <v>257</v>
      </c>
      <c r="D47" s="1131"/>
      <c r="E47" s="1131"/>
      <c r="F47" s="1132"/>
      <c r="G47" s="1072"/>
    </row>
    <row r="48" spans="1:7" x14ac:dyDescent="0.25">
      <c r="A48" s="1133" t="s">
        <v>256</v>
      </c>
      <c r="B48" s="1005" t="s">
        <v>253</v>
      </c>
      <c r="C48" s="1064" t="s">
        <v>255</v>
      </c>
      <c r="D48" s="1064"/>
      <c r="E48" s="1064"/>
      <c r="F48" s="1129"/>
      <c r="G48" s="1072"/>
    </row>
    <row r="49" spans="1:7" x14ac:dyDescent="0.25">
      <c r="A49" s="1130" t="s">
        <v>254</v>
      </c>
      <c r="B49" s="998" t="s">
        <v>253</v>
      </c>
      <c r="C49" s="1131" t="s">
        <v>1739</v>
      </c>
      <c r="D49" s="1131"/>
      <c r="E49" s="1131"/>
      <c r="F49" s="1132"/>
      <c r="G49" s="1072"/>
    </row>
    <row r="50" spans="1:7" x14ac:dyDescent="0.25">
      <c r="A50" s="1133"/>
      <c r="B50" s="1128" t="s">
        <v>235</v>
      </c>
      <c r="C50" s="1064"/>
      <c r="D50" s="1064"/>
      <c r="E50" s="1064"/>
      <c r="F50" s="1129"/>
      <c r="G50" s="1072"/>
    </row>
    <row r="51" spans="1:7" x14ac:dyDescent="0.25">
      <c r="A51" s="1130" t="s">
        <v>252</v>
      </c>
      <c r="B51" s="998" t="s">
        <v>235</v>
      </c>
      <c r="C51" s="1131" t="s">
        <v>7</v>
      </c>
      <c r="D51" s="1131"/>
      <c r="E51" s="1131"/>
      <c r="F51" s="1132"/>
      <c r="G51" s="1072"/>
    </row>
    <row r="52" spans="1:7" x14ac:dyDescent="0.25">
      <c r="A52" s="1133" t="s">
        <v>251</v>
      </c>
      <c r="B52" s="1005" t="s">
        <v>235</v>
      </c>
      <c r="C52" s="1064" t="s">
        <v>14</v>
      </c>
      <c r="D52" s="1064">
        <v>2030</v>
      </c>
      <c r="E52" s="1064"/>
      <c r="F52" s="1137"/>
      <c r="G52" s="1072"/>
    </row>
    <row r="53" spans="1:7" x14ac:dyDescent="0.25">
      <c r="A53" s="1130"/>
      <c r="B53" s="998"/>
      <c r="C53" s="1131" t="s">
        <v>14</v>
      </c>
      <c r="D53" s="1131">
        <v>2030</v>
      </c>
      <c r="E53" s="1131"/>
      <c r="F53" s="1135"/>
      <c r="G53" s="1072"/>
    </row>
    <row r="54" spans="1:7" x14ac:dyDescent="0.25">
      <c r="A54" s="1133"/>
      <c r="B54" s="1005"/>
      <c r="C54" s="1064" t="s">
        <v>14</v>
      </c>
      <c r="D54" s="1064">
        <v>2030</v>
      </c>
      <c r="E54" s="1064"/>
      <c r="F54" s="1137"/>
      <c r="G54" s="1072"/>
    </row>
    <row r="55" spans="1:7" x14ac:dyDescent="0.25">
      <c r="A55" s="1130" t="s">
        <v>250</v>
      </c>
      <c r="B55" s="998" t="s">
        <v>235</v>
      </c>
      <c r="C55" s="1131" t="s">
        <v>249</v>
      </c>
      <c r="D55" s="1131"/>
      <c r="E55" s="1131"/>
      <c r="F55" s="1132"/>
      <c r="G55" s="1072"/>
    </row>
    <row r="56" spans="1:7" x14ac:dyDescent="0.25">
      <c r="A56" s="1133" t="s">
        <v>248</v>
      </c>
      <c r="B56" s="1005" t="s">
        <v>235</v>
      </c>
      <c r="C56" s="1064" t="s">
        <v>247</v>
      </c>
      <c r="D56" s="1064"/>
      <c r="E56" s="1064"/>
      <c r="F56" s="1129"/>
      <c r="G56" s="1072"/>
    </row>
    <row r="57" spans="1:7" x14ac:dyDescent="0.25">
      <c r="A57" s="1130" t="s">
        <v>246</v>
      </c>
      <c r="B57" s="998" t="s">
        <v>235</v>
      </c>
      <c r="C57" s="1131" t="s">
        <v>245</v>
      </c>
      <c r="D57" s="1131"/>
      <c r="E57" s="1131"/>
      <c r="F57" s="1132"/>
      <c r="G57" s="1072"/>
    </row>
    <row r="58" spans="1:7" x14ac:dyDescent="0.25">
      <c r="A58" s="1133" t="s">
        <v>244</v>
      </c>
      <c r="B58" s="1005" t="s">
        <v>235</v>
      </c>
      <c r="C58" s="1064" t="s">
        <v>8</v>
      </c>
      <c r="D58" s="1064"/>
      <c r="E58" s="1064"/>
      <c r="F58" s="1129"/>
      <c r="G58" s="1072"/>
    </row>
    <row r="59" spans="1:7" x14ac:dyDescent="0.25">
      <c r="A59" s="1130" t="s">
        <v>243</v>
      </c>
      <c r="B59" s="998" t="s">
        <v>235</v>
      </c>
      <c r="C59" s="1131" t="s">
        <v>242</v>
      </c>
      <c r="D59" s="1131">
        <v>2030</v>
      </c>
      <c r="E59" s="1131"/>
      <c r="F59" s="1138"/>
      <c r="G59" s="1072"/>
    </row>
    <row r="60" spans="1:7" x14ac:dyDescent="0.25">
      <c r="A60" s="1133" t="s">
        <v>240</v>
      </c>
      <c r="B60" s="1005" t="s">
        <v>235</v>
      </c>
      <c r="C60" s="1064" t="s">
        <v>239</v>
      </c>
      <c r="D60" s="1064">
        <v>2030</v>
      </c>
      <c r="E60" s="1064" t="s">
        <v>31</v>
      </c>
      <c r="F60" s="1129"/>
      <c r="G60" s="1072"/>
    </row>
    <row r="61" spans="1:7" x14ac:dyDescent="0.25">
      <c r="A61" s="1130" t="s">
        <v>238</v>
      </c>
      <c r="B61" s="998" t="s">
        <v>235</v>
      </c>
      <c r="C61" s="1131" t="s">
        <v>237</v>
      </c>
      <c r="D61" s="1131"/>
      <c r="E61" s="1131"/>
      <c r="F61" s="1132"/>
      <c r="G61" s="1072"/>
    </row>
    <row r="62" spans="1:7" x14ac:dyDescent="0.25">
      <c r="A62" s="1133" t="s">
        <v>236</v>
      </c>
      <c r="B62" s="1005" t="s">
        <v>235</v>
      </c>
      <c r="C62" s="1064" t="s">
        <v>234</v>
      </c>
      <c r="D62" s="1064">
        <v>2030</v>
      </c>
      <c r="E62" s="1064"/>
      <c r="F62" s="1139"/>
      <c r="G62" s="1072"/>
    </row>
    <row r="63" spans="1:7" x14ac:dyDescent="0.25">
      <c r="A63" s="1130"/>
      <c r="B63" s="1140" t="s">
        <v>198</v>
      </c>
      <c r="C63" s="1131"/>
      <c r="D63" s="1131"/>
      <c r="E63" s="1131"/>
      <c r="F63" s="1132"/>
      <c r="G63" s="1072"/>
    </row>
    <row r="64" spans="1:7" x14ac:dyDescent="0.25">
      <c r="A64" s="1133" t="s">
        <v>233</v>
      </c>
      <c r="B64" s="1005" t="s">
        <v>198</v>
      </c>
      <c r="C64" s="1064" t="s">
        <v>232</v>
      </c>
      <c r="D64" s="1064"/>
      <c r="E64" s="1064"/>
      <c r="F64" s="1129"/>
      <c r="G64" s="1072"/>
    </row>
    <row r="65" spans="1:7" x14ac:dyDescent="0.25">
      <c r="A65" s="1130" t="s">
        <v>231</v>
      </c>
      <c r="B65" s="998" t="s">
        <v>198</v>
      </c>
      <c r="C65" s="1131" t="s">
        <v>230</v>
      </c>
      <c r="D65" s="1131">
        <v>2030</v>
      </c>
      <c r="E65" s="1131"/>
      <c r="F65" s="1135"/>
      <c r="G65" s="1072"/>
    </row>
    <row r="66" spans="1:7" x14ac:dyDescent="0.25">
      <c r="A66" s="1133"/>
      <c r="B66" s="1005"/>
      <c r="C66" s="1064"/>
      <c r="D66" s="1064"/>
      <c r="E66" s="1064"/>
      <c r="F66" s="1137"/>
      <c r="G66" s="1072"/>
    </row>
    <row r="67" spans="1:7" x14ac:dyDescent="0.25">
      <c r="A67" s="1130"/>
      <c r="B67" s="998"/>
      <c r="C67" s="1131"/>
      <c r="D67" s="1131"/>
      <c r="E67" s="1131"/>
      <c r="F67" s="1135"/>
      <c r="G67" s="1072"/>
    </row>
    <row r="68" spans="1:7" x14ac:dyDescent="0.25">
      <c r="A68" s="1133"/>
      <c r="B68" s="1005"/>
      <c r="C68" s="1064"/>
      <c r="D68" s="1064"/>
      <c r="E68" s="1064"/>
      <c r="F68" s="1141"/>
      <c r="G68" s="1072"/>
    </row>
    <row r="69" spans="1:7" x14ac:dyDescent="0.25">
      <c r="A69" s="1130" t="s">
        <v>225</v>
      </c>
      <c r="B69" s="998" t="s">
        <v>198</v>
      </c>
      <c r="C69" s="1131" t="s">
        <v>224</v>
      </c>
      <c r="D69" s="1131">
        <v>2025</v>
      </c>
      <c r="E69" s="1131"/>
      <c r="F69" s="1135"/>
      <c r="G69" s="1072"/>
    </row>
    <row r="70" spans="1:7" x14ac:dyDescent="0.25">
      <c r="A70" s="1133" t="s">
        <v>223</v>
      </c>
      <c r="B70" s="1005" t="s">
        <v>198</v>
      </c>
      <c r="C70" s="1064" t="s">
        <v>222</v>
      </c>
      <c r="D70" s="1064"/>
      <c r="E70" s="1064"/>
      <c r="F70" s="1137"/>
      <c r="G70" s="1072"/>
    </row>
    <row r="71" spans="1:7" x14ac:dyDescent="0.25">
      <c r="A71" s="1130" t="s">
        <v>221</v>
      </c>
      <c r="B71" s="998" t="s">
        <v>198</v>
      </c>
      <c r="C71" s="1131" t="s">
        <v>11</v>
      </c>
      <c r="D71" s="1131">
        <v>2030</v>
      </c>
      <c r="E71" s="1131" t="s">
        <v>31</v>
      </c>
      <c r="F71" s="1142" t="s">
        <v>220</v>
      </c>
      <c r="G71" s="1072" t="s">
        <v>1379</v>
      </c>
    </row>
    <row r="72" spans="1:7" ht="30" x14ac:dyDescent="0.25">
      <c r="A72" s="1133"/>
      <c r="B72" s="1005"/>
      <c r="C72" s="1064" t="s">
        <v>11</v>
      </c>
      <c r="D72" s="1064">
        <v>2030</v>
      </c>
      <c r="E72" s="1064" t="s">
        <v>31</v>
      </c>
      <c r="F72" s="1142" t="s">
        <v>219</v>
      </c>
      <c r="G72" s="1072"/>
    </row>
    <row r="73" spans="1:7" x14ac:dyDescent="0.25">
      <c r="A73" s="1130"/>
      <c r="B73" s="998"/>
      <c r="C73" s="1131"/>
      <c r="D73" s="1131"/>
      <c r="E73" s="1131"/>
      <c r="F73" s="1142" t="s">
        <v>1377</v>
      </c>
      <c r="G73" s="1072"/>
    </row>
    <row r="74" spans="1:7" ht="30" x14ac:dyDescent="0.25">
      <c r="A74" s="1133" t="s">
        <v>218</v>
      </c>
      <c r="B74" s="1005" t="s">
        <v>198</v>
      </c>
      <c r="C74" s="1064" t="s">
        <v>4</v>
      </c>
      <c r="D74" s="1064">
        <v>2030</v>
      </c>
      <c r="E74" s="1064" t="s">
        <v>31</v>
      </c>
      <c r="F74" s="1142" t="s">
        <v>1380</v>
      </c>
      <c r="G74" s="1072" t="s">
        <v>1381</v>
      </c>
    </row>
    <row r="75" spans="1:7" ht="30" x14ac:dyDescent="0.25">
      <c r="A75" s="1130"/>
      <c r="B75" s="998"/>
      <c r="C75" s="1131" t="s">
        <v>4</v>
      </c>
      <c r="D75" s="1131">
        <v>2030</v>
      </c>
      <c r="E75" s="1131"/>
      <c r="F75" s="1142" t="s">
        <v>217</v>
      </c>
      <c r="G75" s="1072"/>
    </row>
    <row r="76" spans="1:7" x14ac:dyDescent="0.25">
      <c r="A76" s="1133" t="s">
        <v>216</v>
      </c>
      <c r="B76" s="1005" t="s">
        <v>198</v>
      </c>
      <c r="C76" s="1064" t="s">
        <v>6</v>
      </c>
      <c r="D76" s="1064">
        <v>2025</v>
      </c>
      <c r="E76" s="1064" t="s">
        <v>32</v>
      </c>
      <c r="F76" s="1137"/>
      <c r="G76" s="1072"/>
    </row>
    <row r="77" spans="1:7" x14ac:dyDescent="0.25">
      <c r="A77" s="1130" t="s">
        <v>215</v>
      </c>
      <c r="B77" s="998" t="s">
        <v>198</v>
      </c>
      <c r="C77" s="1131" t="s">
        <v>214</v>
      </c>
      <c r="D77" s="1131"/>
      <c r="E77" s="1131"/>
      <c r="F77" s="1132"/>
      <c r="G77" s="1072"/>
    </row>
    <row r="78" spans="1:7" x14ac:dyDescent="0.25">
      <c r="A78" s="1133" t="s">
        <v>213</v>
      </c>
      <c r="B78" s="1005" t="s">
        <v>198</v>
      </c>
      <c r="C78" s="1064" t="s">
        <v>330</v>
      </c>
      <c r="D78" s="1064"/>
      <c r="E78" s="1064"/>
      <c r="F78" s="1129"/>
      <c r="G78" s="1072"/>
    </row>
    <row r="79" spans="1:7" x14ac:dyDescent="0.25">
      <c r="A79" s="1130" t="s">
        <v>212</v>
      </c>
      <c r="B79" s="998" t="s">
        <v>198</v>
      </c>
      <c r="C79" s="1131" t="s">
        <v>211</v>
      </c>
      <c r="D79" s="1131"/>
      <c r="E79" s="1131"/>
      <c r="F79" s="1132"/>
      <c r="G79" s="1072"/>
    </row>
    <row r="80" spans="1:7" x14ac:dyDescent="0.25">
      <c r="A80" s="1133" t="s">
        <v>210</v>
      </c>
      <c r="B80" s="1005" t="s">
        <v>198</v>
      </c>
      <c r="C80" s="1064" t="s">
        <v>209</v>
      </c>
      <c r="D80" s="1064"/>
      <c r="E80" s="1064"/>
      <c r="F80" s="1129"/>
      <c r="G80" s="1072"/>
    </row>
    <row r="81" spans="1:7" x14ac:dyDescent="0.25">
      <c r="A81" s="1130" t="s">
        <v>208</v>
      </c>
      <c r="B81" s="998" t="s">
        <v>198</v>
      </c>
      <c r="C81" s="1131" t="s">
        <v>207</v>
      </c>
      <c r="D81" s="1131"/>
      <c r="E81" s="1131"/>
      <c r="F81" s="1132"/>
      <c r="G81" s="1072"/>
    </row>
    <row r="82" spans="1:7" x14ac:dyDescent="0.25">
      <c r="A82" s="1133" t="s">
        <v>206</v>
      </c>
      <c r="B82" s="1005" t="s">
        <v>198</v>
      </c>
      <c r="C82" s="1064" t="s">
        <v>332</v>
      </c>
      <c r="D82" s="1064"/>
      <c r="E82" s="1064"/>
      <c r="F82" s="1129"/>
      <c r="G82" s="1072"/>
    </row>
    <row r="83" spans="1:7" x14ac:dyDescent="0.25">
      <c r="A83" s="1130" t="s">
        <v>205</v>
      </c>
      <c r="B83" s="998" t="s">
        <v>198</v>
      </c>
      <c r="C83" s="1131" t="s">
        <v>204</v>
      </c>
      <c r="D83" s="1131"/>
      <c r="E83" s="1131"/>
      <c r="F83" s="1132"/>
      <c r="G83" s="1072"/>
    </row>
    <row r="84" spans="1:7" x14ac:dyDescent="0.25">
      <c r="A84" s="1133" t="s">
        <v>203</v>
      </c>
      <c r="B84" s="1005" t="s">
        <v>198</v>
      </c>
      <c r="C84" s="1064" t="s">
        <v>202</v>
      </c>
      <c r="D84" s="1064"/>
      <c r="E84" s="1064"/>
      <c r="F84" s="1129"/>
      <c r="G84" s="1072"/>
    </row>
    <row r="85" spans="1:7" x14ac:dyDescent="0.25">
      <c r="A85" s="1130" t="s">
        <v>201</v>
      </c>
      <c r="B85" s="998" t="s">
        <v>198</v>
      </c>
      <c r="C85" s="1131" t="s">
        <v>200</v>
      </c>
      <c r="D85" s="1131"/>
      <c r="E85" s="1131"/>
      <c r="F85" s="1132"/>
      <c r="G85" s="1072"/>
    </row>
    <row r="86" spans="1:7" x14ac:dyDescent="0.25">
      <c r="A86" s="1133" t="s">
        <v>199</v>
      </c>
      <c r="B86" s="1005" t="s">
        <v>198</v>
      </c>
      <c r="C86" s="1064" t="s">
        <v>197</v>
      </c>
      <c r="D86" s="1064"/>
      <c r="E86" s="1064"/>
      <c r="F86" s="1129"/>
      <c r="G86" s="1072"/>
    </row>
    <row r="87" spans="1:7" x14ac:dyDescent="0.25">
      <c r="A87" s="1130"/>
      <c r="B87" s="1140" t="s">
        <v>175</v>
      </c>
      <c r="C87" s="1131"/>
      <c r="D87" s="1131"/>
      <c r="E87" s="1131"/>
      <c r="F87" s="1132"/>
      <c r="G87" s="1072"/>
    </row>
    <row r="88" spans="1:7" x14ac:dyDescent="0.25">
      <c r="A88" s="1133" t="s">
        <v>196</v>
      </c>
      <c r="B88" s="1005" t="s">
        <v>175</v>
      </c>
      <c r="C88" s="1064" t="s">
        <v>195</v>
      </c>
      <c r="D88" s="1064"/>
      <c r="E88" s="1064"/>
      <c r="F88" s="1129"/>
      <c r="G88" s="1072"/>
    </row>
    <row r="89" spans="1:7" x14ac:dyDescent="0.25">
      <c r="A89" s="1130" t="s">
        <v>194</v>
      </c>
      <c r="B89" s="998" t="s">
        <v>175</v>
      </c>
      <c r="C89" s="1131" t="s">
        <v>193</v>
      </c>
      <c r="D89" s="1131"/>
      <c r="E89" s="1131"/>
      <c r="F89" s="1132"/>
      <c r="G89" s="1072"/>
    </row>
    <row r="90" spans="1:7" x14ac:dyDescent="0.25">
      <c r="A90" s="1133" t="s">
        <v>192</v>
      </c>
      <c r="B90" s="1005" t="s">
        <v>175</v>
      </c>
      <c r="C90" s="1064" t="s">
        <v>191</v>
      </c>
      <c r="D90" s="1064"/>
      <c r="E90" s="1064"/>
      <c r="F90" s="1129"/>
      <c r="G90" s="1072"/>
    </row>
    <row r="91" spans="1:7" x14ac:dyDescent="0.25">
      <c r="A91" s="1130" t="s">
        <v>190</v>
      </c>
      <c r="B91" s="998" t="s">
        <v>175</v>
      </c>
      <c r="C91" s="1131" t="s">
        <v>189</v>
      </c>
      <c r="D91" s="1131"/>
      <c r="E91" s="1131"/>
      <c r="F91" s="1132"/>
      <c r="G91" s="1072"/>
    </row>
    <row r="92" spans="1:7" x14ac:dyDescent="0.25">
      <c r="A92" s="1133" t="s">
        <v>188</v>
      </c>
      <c r="B92" s="1005" t="s">
        <v>175</v>
      </c>
      <c r="C92" s="1064" t="s">
        <v>187</v>
      </c>
      <c r="D92" s="1064"/>
      <c r="E92" s="1064"/>
      <c r="F92" s="1129"/>
      <c r="G92" s="1072"/>
    </row>
    <row r="93" spans="1:7" x14ac:dyDescent="0.25">
      <c r="A93" s="1130" t="s">
        <v>186</v>
      </c>
      <c r="B93" s="998" t="s">
        <v>175</v>
      </c>
      <c r="C93" s="1131" t="s">
        <v>185</v>
      </c>
      <c r="D93" s="1131"/>
      <c r="E93" s="1131"/>
      <c r="F93" s="1132"/>
      <c r="G93" s="1072"/>
    </row>
    <row r="94" spans="1:7" x14ac:dyDescent="0.25">
      <c r="A94" s="1133" t="s">
        <v>184</v>
      </c>
      <c r="B94" s="1005" t="s">
        <v>175</v>
      </c>
      <c r="C94" s="1064" t="s">
        <v>183</v>
      </c>
      <c r="D94" s="1064"/>
      <c r="E94" s="1064"/>
      <c r="F94" s="1129"/>
      <c r="G94" s="1072"/>
    </row>
    <row r="95" spans="1:7" x14ac:dyDescent="0.25">
      <c r="A95" s="1130" t="s">
        <v>182</v>
      </c>
      <c r="B95" s="998" t="s">
        <v>175</v>
      </c>
      <c r="C95" s="1131" t="s">
        <v>181</v>
      </c>
      <c r="D95" s="1131"/>
      <c r="E95" s="1131"/>
      <c r="F95" s="1143"/>
      <c r="G95" s="1072"/>
    </row>
    <row r="96" spans="1:7" x14ac:dyDescent="0.25">
      <c r="A96" s="1133" t="s">
        <v>180</v>
      </c>
      <c r="B96" s="1005" t="s">
        <v>175</v>
      </c>
      <c r="C96" s="1064" t="s">
        <v>179</v>
      </c>
      <c r="D96" s="1064"/>
      <c r="E96" s="1064"/>
      <c r="F96" s="1129"/>
      <c r="G96" s="1072"/>
    </row>
    <row r="97" spans="1:7" x14ac:dyDescent="0.25">
      <c r="A97" s="1130" t="s">
        <v>178</v>
      </c>
      <c r="B97" s="998" t="s">
        <v>175</v>
      </c>
      <c r="C97" s="1131" t="s">
        <v>177</v>
      </c>
      <c r="D97" s="1131"/>
      <c r="E97" s="1131"/>
      <c r="F97" s="1132"/>
      <c r="G97" s="1072"/>
    </row>
    <row r="98" spans="1:7" x14ac:dyDescent="0.25">
      <c r="A98" s="1133" t="s">
        <v>176</v>
      </c>
      <c r="B98" s="1005" t="s">
        <v>175</v>
      </c>
      <c r="C98" s="1064" t="s">
        <v>174</v>
      </c>
      <c r="D98" s="1064"/>
      <c r="E98" s="1064"/>
      <c r="F98" s="1129"/>
      <c r="G98" s="1072"/>
    </row>
    <row r="99" spans="1:7" x14ac:dyDescent="0.25">
      <c r="A99" s="1130"/>
      <c r="B99" s="1140" t="s">
        <v>173</v>
      </c>
      <c r="C99" s="1131"/>
      <c r="D99" s="1131"/>
      <c r="E99" s="1131"/>
      <c r="F99" s="1132"/>
      <c r="G99" s="1072"/>
    </row>
    <row r="100" spans="1:7" x14ac:dyDescent="0.25">
      <c r="A100" s="1133" t="s">
        <v>172</v>
      </c>
      <c r="B100" s="1005" t="s">
        <v>161</v>
      </c>
      <c r="C100" s="1064" t="s">
        <v>1740</v>
      </c>
      <c r="D100" s="1064"/>
      <c r="E100" s="1064"/>
      <c r="F100" s="1129"/>
      <c r="G100" s="1072"/>
    </row>
    <row r="101" spans="1:7" x14ac:dyDescent="0.25">
      <c r="A101" s="1130" t="s">
        <v>171</v>
      </c>
      <c r="B101" s="998" t="s">
        <v>161</v>
      </c>
      <c r="C101" s="1131" t="s">
        <v>327</v>
      </c>
      <c r="D101" s="1131"/>
      <c r="E101" s="1131"/>
      <c r="F101" s="1132"/>
      <c r="G101" s="1072"/>
    </row>
    <row r="102" spans="1:7" x14ac:dyDescent="0.25">
      <c r="A102" s="1133" t="s">
        <v>170</v>
      </c>
      <c r="B102" s="1005" t="s">
        <v>161</v>
      </c>
      <c r="C102" s="1064" t="s">
        <v>169</v>
      </c>
      <c r="D102" s="1064"/>
      <c r="E102" s="1064"/>
      <c r="F102" s="1129"/>
      <c r="G102" s="1072"/>
    </row>
    <row r="103" spans="1:7" x14ac:dyDescent="0.25">
      <c r="A103" s="1130" t="s">
        <v>168</v>
      </c>
      <c r="B103" s="998" t="s">
        <v>161</v>
      </c>
      <c r="C103" s="1131" t="s">
        <v>167</v>
      </c>
      <c r="D103" s="1131">
        <v>2025</v>
      </c>
      <c r="E103" s="1131"/>
      <c r="F103" s="1138" t="s">
        <v>166</v>
      </c>
      <c r="G103" s="1072"/>
    </row>
    <row r="104" spans="1:7" x14ac:dyDescent="0.25">
      <c r="A104" s="1133" t="s">
        <v>165</v>
      </c>
      <c r="B104" s="1005" t="s">
        <v>161</v>
      </c>
      <c r="C104" s="1064" t="s">
        <v>164</v>
      </c>
      <c r="D104" s="1064"/>
      <c r="E104" s="1064"/>
      <c r="F104" s="1129"/>
      <c r="G104" s="1072"/>
    </row>
    <row r="105" spans="1:7" ht="45" x14ac:dyDescent="0.25">
      <c r="A105" s="1130" t="s">
        <v>163</v>
      </c>
      <c r="B105" s="998" t="s">
        <v>161</v>
      </c>
      <c r="C105" s="1131" t="s">
        <v>17</v>
      </c>
      <c r="D105" s="1131"/>
      <c r="E105" s="1131"/>
      <c r="F105" s="1132"/>
      <c r="G105" s="1074" t="s">
        <v>2564</v>
      </c>
    </row>
    <row r="106" spans="1:7" ht="18" customHeight="1" x14ac:dyDescent="0.25">
      <c r="A106" s="1133" t="s">
        <v>162</v>
      </c>
      <c r="B106" s="1005" t="s">
        <v>161</v>
      </c>
      <c r="C106" s="1064" t="s">
        <v>21</v>
      </c>
      <c r="D106" s="1064">
        <v>2030</v>
      </c>
      <c r="E106" s="1064"/>
      <c r="F106" s="1137" t="s">
        <v>160</v>
      </c>
      <c r="G106" s="1072"/>
    </row>
    <row r="107" spans="1:7" ht="15" customHeight="1" x14ac:dyDescent="0.25">
      <c r="A107" s="1130"/>
      <c r="B107" s="998"/>
      <c r="C107" s="1131" t="s">
        <v>21</v>
      </c>
      <c r="D107" s="1131">
        <v>2030</v>
      </c>
      <c r="E107" s="1131"/>
      <c r="F107" s="1135" t="s">
        <v>159</v>
      </c>
      <c r="G107" s="1072"/>
    </row>
    <row r="108" spans="1:7" ht="15" customHeight="1" x14ac:dyDescent="0.25">
      <c r="A108" s="1133"/>
      <c r="B108" s="1005"/>
      <c r="C108" s="1064" t="s">
        <v>21</v>
      </c>
      <c r="D108" s="1064">
        <v>2030</v>
      </c>
      <c r="E108" s="1064"/>
      <c r="F108" s="1137" t="s">
        <v>158</v>
      </c>
      <c r="G108" s="1072"/>
    </row>
    <row r="109" spans="1:7" ht="15" customHeight="1" x14ac:dyDescent="0.25">
      <c r="A109" s="1130"/>
      <c r="B109" s="998"/>
      <c r="C109" s="1131" t="s">
        <v>21</v>
      </c>
      <c r="D109" s="1131">
        <v>2030</v>
      </c>
      <c r="E109" s="1131"/>
      <c r="F109" s="1135" t="s">
        <v>157</v>
      </c>
      <c r="G109" s="1072"/>
    </row>
    <row r="110" spans="1:7" ht="15" customHeight="1" x14ac:dyDescent="0.25">
      <c r="A110" s="1133"/>
      <c r="B110" s="1005"/>
      <c r="C110" s="1064" t="s">
        <v>21</v>
      </c>
      <c r="D110" s="1064">
        <v>2030</v>
      </c>
      <c r="E110" s="1064"/>
      <c r="F110" s="1137" t="s">
        <v>156</v>
      </c>
      <c r="G110" s="1072"/>
    </row>
    <row r="111" spans="1:7" ht="15" customHeight="1" x14ac:dyDescent="0.25">
      <c r="A111" s="1130"/>
      <c r="B111" s="1140" t="s">
        <v>57</v>
      </c>
      <c r="C111" s="1131"/>
      <c r="D111" s="1131"/>
      <c r="E111" s="1131"/>
      <c r="F111" s="1135"/>
      <c r="G111" s="1072"/>
    </row>
    <row r="112" spans="1:7" ht="15" customHeight="1" x14ac:dyDescent="0.25">
      <c r="A112" s="1133" t="s">
        <v>155</v>
      </c>
      <c r="B112" s="1005" t="s">
        <v>57</v>
      </c>
      <c r="C112" s="1064" t="s">
        <v>154</v>
      </c>
      <c r="D112" s="1064">
        <v>2030</v>
      </c>
      <c r="E112" s="1064"/>
      <c r="F112" s="1137" t="s">
        <v>153</v>
      </c>
      <c r="G112" s="1072"/>
    </row>
    <row r="113" spans="1:7" ht="15" customHeight="1" x14ac:dyDescent="0.25">
      <c r="A113" s="1130" t="s">
        <v>152</v>
      </c>
      <c r="B113" s="998" t="s">
        <v>57</v>
      </c>
      <c r="C113" s="1131" t="s">
        <v>151</v>
      </c>
      <c r="D113" s="1131"/>
      <c r="E113" s="1131"/>
      <c r="F113" s="1135"/>
      <c r="G113" s="1072"/>
    </row>
    <row r="114" spans="1:7" ht="15" customHeight="1" x14ac:dyDescent="0.25">
      <c r="A114" s="1133" t="s">
        <v>150</v>
      </c>
      <c r="B114" s="1005" t="s">
        <v>57</v>
      </c>
      <c r="C114" s="1064" t="s">
        <v>149</v>
      </c>
      <c r="D114" s="1064"/>
      <c r="E114" s="1064"/>
      <c r="F114" s="1137"/>
      <c r="G114" s="1072"/>
    </row>
    <row r="115" spans="1:7" ht="15" customHeight="1" x14ac:dyDescent="0.25">
      <c r="A115" s="1130" t="s">
        <v>148</v>
      </c>
      <c r="B115" s="998" t="s">
        <v>57</v>
      </c>
      <c r="C115" s="1131" t="s">
        <v>147</v>
      </c>
      <c r="D115" s="1131"/>
      <c r="E115" s="1131"/>
      <c r="F115" s="1135"/>
      <c r="G115" s="1072"/>
    </row>
    <row r="116" spans="1:7" ht="15" customHeight="1" x14ac:dyDescent="0.25">
      <c r="A116" s="1133" t="s">
        <v>146</v>
      </c>
      <c r="B116" s="1005" t="s">
        <v>57</v>
      </c>
      <c r="C116" s="1064" t="s">
        <v>145</v>
      </c>
      <c r="D116" s="1064"/>
      <c r="E116" s="1064"/>
      <c r="F116" s="1137"/>
      <c r="G116" s="1072"/>
    </row>
    <row r="117" spans="1:7" ht="15" customHeight="1" x14ac:dyDescent="0.25">
      <c r="A117" s="1130" t="s">
        <v>144</v>
      </c>
      <c r="B117" s="998" t="s">
        <v>57</v>
      </c>
      <c r="C117" s="1131" t="s">
        <v>143</v>
      </c>
      <c r="D117" s="1131">
        <v>2025</v>
      </c>
      <c r="E117" s="1131"/>
      <c r="F117" s="1135"/>
      <c r="G117" s="1072"/>
    </row>
    <row r="118" spans="1:7" ht="15" customHeight="1" x14ac:dyDescent="0.25">
      <c r="A118" s="1133" t="s">
        <v>142</v>
      </c>
      <c r="B118" s="1005" t="s">
        <v>57</v>
      </c>
      <c r="C118" s="1064" t="s">
        <v>141</v>
      </c>
      <c r="D118" s="1064">
        <v>2035</v>
      </c>
      <c r="E118" s="1064"/>
      <c r="F118" s="1141" t="s">
        <v>140</v>
      </c>
      <c r="G118" s="1072"/>
    </row>
    <row r="119" spans="1:7" ht="15" customHeight="1" x14ac:dyDescent="0.25">
      <c r="A119" s="1130" t="s">
        <v>139</v>
      </c>
      <c r="B119" s="998" t="s">
        <v>57</v>
      </c>
      <c r="C119" s="1131" t="s">
        <v>138</v>
      </c>
      <c r="D119" s="1131"/>
      <c r="E119" s="1131"/>
      <c r="F119" s="1135"/>
      <c r="G119" s="1072"/>
    </row>
    <row r="120" spans="1:7" ht="15" customHeight="1" x14ac:dyDescent="0.25">
      <c r="A120" s="1133" t="s">
        <v>137</v>
      </c>
      <c r="B120" s="1005" t="s">
        <v>57</v>
      </c>
      <c r="C120" s="1064" t="s">
        <v>136</v>
      </c>
      <c r="D120" s="1064"/>
      <c r="E120" s="1064"/>
      <c r="F120" s="1137"/>
      <c r="G120" s="1072"/>
    </row>
    <row r="121" spans="1:7" ht="15" customHeight="1" x14ac:dyDescent="0.25">
      <c r="A121" s="1130" t="s">
        <v>135</v>
      </c>
      <c r="B121" s="998" t="s">
        <v>57</v>
      </c>
      <c r="C121" s="1131" t="s">
        <v>134</v>
      </c>
      <c r="D121" s="1131"/>
      <c r="E121" s="1131"/>
      <c r="F121" s="1135"/>
      <c r="G121" s="1072"/>
    </row>
    <row r="122" spans="1:7" ht="15" customHeight="1" x14ac:dyDescent="0.25">
      <c r="A122" s="1133" t="s">
        <v>133</v>
      </c>
      <c r="B122" s="1005" t="s">
        <v>57</v>
      </c>
      <c r="C122" s="1064" t="s">
        <v>132</v>
      </c>
      <c r="D122" s="1064"/>
      <c r="E122" s="1064"/>
      <c r="F122" s="1137"/>
      <c r="G122" s="1072"/>
    </row>
    <row r="123" spans="1:7" ht="15" customHeight="1" x14ac:dyDescent="0.25">
      <c r="A123" s="1130" t="s">
        <v>131</v>
      </c>
      <c r="B123" s="998" t="s">
        <v>57</v>
      </c>
      <c r="C123" s="1131" t="s">
        <v>130</v>
      </c>
      <c r="D123" s="1131"/>
      <c r="E123" s="1131"/>
      <c r="F123" s="1135"/>
      <c r="G123" s="1072"/>
    </row>
    <row r="124" spans="1:7" ht="15" customHeight="1" x14ac:dyDescent="0.25">
      <c r="A124" s="1133" t="s">
        <v>129</v>
      </c>
      <c r="B124" s="1005" t="s">
        <v>57</v>
      </c>
      <c r="C124" s="1064" t="s">
        <v>128</v>
      </c>
      <c r="D124" s="1064"/>
      <c r="E124" s="1064"/>
      <c r="F124" s="1137"/>
      <c r="G124" s="1072"/>
    </row>
    <row r="125" spans="1:7" ht="15" customHeight="1" x14ac:dyDescent="0.25">
      <c r="A125" s="1130" t="s">
        <v>127</v>
      </c>
      <c r="B125" s="998" t="s">
        <v>57</v>
      </c>
      <c r="C125" s="1131" t="s">
        <v>126</v>
      </c>
      <c r="D125" s="1131"/>
      <c r="E125" s="1131"/>
      <c r="F125" s="1135"/>
      <c r="G125" s="1072"/>
    </row>
    <row r="126" spans="1:7" ht="15" customHeight="1" x14ac:dyDescent="0.25">
      <c r="A126" s="1133" t="s">
        <v>125</v>
      </c>
      <c r="B126" s="1005" t="s">
        <v>57</v>
      </c>
      <c r="C126" s="1064" t="s">
        <v>326</v>
      </c>
      <c r="D126" s="1064"/>
      <c r="E126" s="1064"/>
      <c r="F126" s="1137"/>
      <c r="G126" s="1072"/>
    </row>
    <row r="127" spans="1:7" ht="15" customHeight="1" x14ac:dyDescent="0.25">
      <c r="A127" s="1130" t="s">
        <v>124</v>
      </c>
      <c r="B127" s="998" t="s">
        <v>57</v>
      </c>
      <c r="C127" s="1131" t="s">
        <v>123</v>
      </c>
      <c r="D127" s="1131"/>
      <c r="E127" s="1131"/>
      <c r="F127" s="1135"/>
      <c r="G127" s="1072"/>
    </row>
    <row r="128" spans="1:7" ht="15" customHeight="1" x14ac:dyDescent="0.25">
      <c r="A128" s="1133" t="s">
        <v>122</v>
      </c>
      <c r="B128" s="1005" t="s">
        <v>57</v>
      </c>
      <c r="C128" s="1064" t="s">
        <v>121</v>
      </c>
      <c r="D128" s="1064"/>
      <c r="E128" s="1064"/>
      <c r="F128" s="1137"/>
      <c r="G128" s="1072"/>
    </row>
    <row r="129" spans="1:7" ht="15" customHeight="1" x14ac:dyDescent="0.25">
      <c r="A129" s="1130" t="s">
        <v>120</v>
      </c>
      <c r="B129" s="998" t="s">
        <v>57</v>
      </c>
      <c r="C129" s="1131" t="s">
        <v>119</v>
      </c>
      <c r="D129" s="1131"/>
      <c r="E129" s="1131"/>
      <c r="F129" s="1135"/>
      <c r="G129" s="1072"/>
    </row>
    <row r="130" spans="1:7" ht="15" customHeight="1" x14ac:dyDescent="0.25">
      <c r="A130" s="1133" t="s">
        <v>118</v>
      </c>
      <c r="B130" s="1005" t="s">
        <v>57</v>
      </c>
      <c r="C130" s="1064" t="s">
        <v>117</v>
      </c>
      <c r="D130" s="1064"/>
      <c r="E130" s="1064"/>
      <c r="F130" s="1137"/>
      <c r="G130" s="1072"/>
    </row>
    <row r="131" spans="1:7" ht="15" customHeight="1" x14ac:dyDescent="0.25">
      <c r="A131" s="1130" t="s">
        <v>116</v>
      </c>
      <c r="B131" s="998" t="s">
        <v>57</v>
      </c>
      <c r="C131" s="1131" t="s">
        <v>115</v>
      </c>
      <c r="D131" s="1131"/>
      <c r="E131" s="1131"/>
      <c r="F131" s="1135"/>
      <c r="G131" s="1072"/>
    </row>
    <row r="132" spans="1:7" ht="15" customHeight="1" x14ac:dyDescent="0.25">
      <c r="A132" s="1133" t="s">
        <v>114</v>
      </c>
      <c r="B132" s="1005" t="s">
        <v>57</v>
      </c>
      <c r="C132" s="1064" t="s">
        <v>113</v>
      </c>
      <c r="D132" s="1064"/>
      <c r="E132" s="1064"/>
      <c r="F132" s="1137"/>
      <c r="G132" s="1072"/>
    </row>
    <row r="133" spans="1:7" ht="15" customHeight="1" x14ac:dyDescent="0.25">
      <c r="A133" s="1130" t="s">
        <v>112</v>
      </c>
      <c r="B133" s="998" t="s">
        <v>57</v>
      </c>
      <c r="C133" s="1131" t="s">
        <v>111</v>
      </c>
      <c r="D133" s="1131"/>
      <c r="E133" s="1131"/>
      <c r="F133" s="1135"/>
      <c r="G133" s="1072"/>
    </row>
    <row r="134" spans="1:7" ht="15" customHeight="1" x14ac:dyDescent="0.25">
      <c r="A134" s="1133" t="s">
        <v>110</v>
      </c>
      <c r="B134" s="1005" t="s">
        <v>57</v>
      </c>
      <c r="C134" s="1064" t="s">
        <v>109</v>
      </c>
      <c r="D134" s="1064">
        <v>2030</v>
      </c>
      <c r="E134" s="1064"/>
      <c r="F134" s="1137"/>
      <c r="G134" s="1072"/>
    </row>
    <row r="135" spans="1:7" ht="15" customHeight="1" x14ac:dyDescent="0.25">
      <c r="A135" s="1130" t="s">
        <v>108</v>
      </c>
      <c r="B135" s="998" t="s">
        <v>57</v>
      </c>
      <c r="C135" s="1131" t="s">
        <v>107</v>
      </c>
      <c r="D135" s="1131"/>
      <c r="E135" s="1131"/>
      <c r="F135" s="1135"/>
      <c r="G135" s="1072"/>
    </row>
    <row r="136" spans="1:7" ht="15" customHeight="1" x14ac:dyDescent="0.25">
      <c r="A136" s="1133" t="s">
        <v>106</v>
      </c>
      <c r="B136" s="1005" t="s">
        <v>57</v>
      </c>
      <c r="C136" s="1064" t="s">
        <v>105</v>
      </c>
      <c r="D136" s="1064"/>
      <c r="E136" s="1064"/>
      <c r="F136" s="1137"/>
      <c r="G136" s="1072"/>
    </row>
    <row r="137" spans="1:7" ht="15" customHeight="1" x14ac:dyDescent="0.25">
      <c r="A137" s="1130" t="s">
        <v>104</v>
      </c>
      <c r="B137" s="998" t="s">
        <v>57</v>
      </c>
      <c r="C137" s="1131" t="s">
        <v>103</v>
      </c>
      <c r="D137" s="1131"/>
      <c r="E137" s="1131"/>
      <c r="F137" s="1135"/>
      <c r="G137" s="1072"/>
    </row>
    <row r="138" spans="1:7" ht="15" customHeight="1" x14ac:dyDescent="0.25">
      <c r="A138" s="1133" t="s">
        <v>102</v>
      </c>
      <c r="B138" s="1005" t="s">
        <v>57</v>
      </c>
      <c r="C138" s="1064" t="s">
        <v>101</v>
      </c>
      <c r="D138" s="1064"/>
      <c r="E138" s="1064"/>
      <c r="F138" s="1137"/>
      <c r="G138" s="1072"/>
    </row>
    <row r="139" spans="1:7" ht="15" customHeight="1" x14ac:dyDescent="0.25">
      <c r="A139" s="1130" t="s">
        <v>100</v>
      </c>
      <c r="B139" s="998" t="s">
        <v>57</v>
      </c>
      <c r="C139" s="1131" t="s">
        <v>99</v>
      </c>
      <c r="D139" s="1131"/>
      <c r="E139" s="1131"/>
      <c r="F139" s="1135"/>
      <c r="G139" s="1072"/>
    </row>
    <row r="140" spans="1:7" ht="15" customHeight="1" x14ac:dyDescent="0.25">
      <c r="A140" s="1133" t="s">
        <v>98</v>
      </c>
      <c r="B140" s="1005" t="s">
        <v>57</v>
      </c>
      <c r="C140" s="1064" t="s">
        <v>97</v>
      </c>
      <c r="D140" s="1064"/>
      <c r="E140" s="1064"/>
      <c r="F140" s="1137"/>
      <c r="G140" s="1072"/>
    </row>
    <row r="141" spans="1:7" ht="15" customHeight="1" x14ac:dyDescent="0.25">
      <c r="A141" s="1130" t="s">
        <v>96</v>
      </c>
      <c r="B141" s="998" t="s">
        <v>57</v>
      </c>
      <c r="C141" s="1131" t="s">
        <v>95</v>
      </c>
      <c r="D141" s="1131"/>
      <c r="E141" s="1131"/>
      <c r="F141" s="1135"/>
      <c r="G141" s="1072"/>
    </row>
    <row r="142" spans="1:7" ht="15" customHeight="1" x14ac:dyDescent="0.25">
      <c r="A142" s="1133" t="s">
        <v>94</v>
      </c>
      <c r="B142" s="1005" t="s">
        <v>57</v>
      </c>
      <c r="C142" s="1064" t="s">
        <v>93</v>
      </c>
      <c r="D142" s="1064"/>
      <c r="E142" s="1064"/>
      <c r="F142" s="1137"/>
      <c r="G142" s="1072"/>
    </row>
    <row r="143" spans="1:7" ht="15" customHeight="1" x14ac:dyDescent="0.25">
      <c r="A143" s="1130" t="s">
        <v>92</v>
      </c>
      <c r="B143" s="998" t="s">
        <v>57</v>
      </c>
      <c r="C143" s="1131" t="s">
        <v>91</v>
      </c>
      <c r="D143" s="1131"/>
      <c r="E143" s="1131"/>
      <c r="F143" s="1135"/>
      <c r="G143" s="1072"/>
    </row>
    <row r="144" spans="1:7" ht="15" customHeight="1" x14ac:dyDescent="0.25">
      <c r="A144" s="1133" t="s">
        <v>90</v>
      </c>
      <c r="B144" s="1005" t="s">
        <v>57</v>
      </c>
      <c r="C144" s="1064" t="s">
        <v>89</v>
      </c>
      <c r="D144" s="1064"/>
      <c r="E144" s="1064"/>
      <c r="F144" s="1137"/>
      <c r="G144" s="1072"/>
    </row>
    <row r="145" spans="1:7" ht="15" customHeight="1" x14ac:dyDescent="0.25">
      <c r="A145" s="1130" t="s">
        <v>88</v>
      </c>
      <c r="B145" s="998" t="s">
        <v>57</v>
      </c>
      <c r="C145" s="1131" t="s">
        <v>87</v>
      </c>
      <c r="D145" s="1131"/>
      <c r="E145" s="1131"/>
      <c r="F145" s="1135"/>
      <c r="G145" s="1072"/>
    </row>
    <row r="146" spans="1:7" ht="15" customHeight="1" x14ac:dyDescent="0.25">
      <c r="A146" s="1133" t="s">
        <v>86</v>
      </c>
      <c r="B146" s="1005" t="s">
        <v>57</v>
      </c>
      <c r="C146" s="1064" t="s">
        <v>85</v>
      </c>
      <c r="D146" s="1064"/>
      <c r="E146" s="1064"/>
      <c r="F146" s="1137"/>
      <c r="G146" s="1072"/>
    </row>
    <row r="147" spans="1:7" ht="15" customHeight="1" x14ac:dyDescent="0.25">
      <c r="A147" s="1130" t="s">
        <v>84</v>
      </c>
      <c r="B147" s="998" t="s">
        <v>57</v>
      </c>
      <c r="C147" s="1131" t="s">
        <v>331</v>
      </c>
      <c r="D147" s="1131"/>
      <c r="E147" s="1131"/>
      <c r="F147" s="1135"/>
      <c r="G147" s="1072"/>
    </row>
    <row r="148" spans="1:7" ht="15" customHeight="1" x14ac:dyDescent="0.25">
      <c r="A148" s="1133" t="s">
        <v>83</v>
      </c>
      <c r="B148" s="1005" t="s">
        <v>57</v>
      </c>
      <c r="C148" s="1064" t="s">
        <v>82</v>
      </c>
      <c r="D148" s="1064"/>
      <c r="E148" s="1064"/>
      <c r="F148" s="1137"/>
      <c r="G148" s="1072"/>
    </row>
    <row r="149" spans="1:7" ht="15" customHeight="1" x14ac:dyDescent="0.25">
      <c r="A149" s="1130" t="s">
        <v>81</v>
      </c>
      <c r="B149" s="998" t="s">
        <v>57</v>
      </c>
      <c r="C149" s="1131" t="s">
        <v>80</v>
      </c>
      <c r="D149" s="1131"/>
      <c r="E149" s="1131"/>
      <c r="F149" s="1135"/>
      <c r="G149" s="1072"/>
    </row>
    <row r="150" spans="1:7" ht="15" customHeight="1" x14ac:dyDescent="0.25">
      <c r="A150" s="1133" t="s">
        <v>79</v>
      </c>
      <c r="B150" s="1005" t="s">
        <v>57</v>
      </c>
      <c r="C150" s="1064" t="s">
        <v>78</v>
      </c>
      <c r="D150" s="1064"/>
      <c r="E150" s="1064"/>
      <c r="F150" s="1137"/>
      <c r="G150" s="1072"/>
    </row>
    <row r="151" spans="1:7" ht="15" customHeight="1" x14ac:dyDescent="0.25">
      <c r="A151" s="1130" t="s">
        <v>77</v>
      </c>
      <c r="B151" s="998" t="s">
        <v>57</v>
      </c>
      <c r="C151" s="1131" t="s">
        <v>76</v>
      </c>
      <c r="D151" s="1131"/>
      <c r="E151" s="1131"/>
      <c r="F151" s="1135"/>
      <c r="G151" s="1072"/>
    </row>
    <row r="152" spans="1:7" ht="15" customHeight="1" x14ac:dyDescent="0.25">
      <c r="A152" s="1133" t="s">
        <v>75</v>
      </c>
      <c r="B152" s="1005" t="s">
        <v>57</v>
      </c>
      <c r="C152" s="1064" t="s">
        <v>74</v>
      </c>
      <c r="D152" s="1064"/>
      <c r="E152" s="1064"/>
      <c r="F152" s="1137"/>
      <c r="G152" s="1072"/>
    </row>
    <row r="153" spans="1:7" ht="30" customHeight="1" x14ac:dyDescent="0.25">
      <c r="A153" s="1130" t="s">
        <v>73</v>
      </c>
      <c r="B153" s="998" t="s">
        <v>57</v>
      </c>
      <c r="C153" s="1131" t="s">
        <v>19</v>
      </c>
      <c r="D153" s="1131">
        <v>2050</v>
      </c>
      <c r="E153" s="1131"/>
      <c r="F153" s="1135" t="s">
        <v>72</v>
      </c>
      <c r="G153" s="1072"/>
    </row>
    <row r="154" spans="1:7" ht="15" customHeight="1" x14ac:dyDescent="0.25">
      <c r="A154" s="1133"/>
      <c r="B154" s="1005"/>
      <c r="C154" s="1064"/>
      <c r="D154" s="1064">
        <v>2050</v>
      </c>
      <c r="E154" s="1064"/>
      <c r="F154" s="1137" t="s">
        <v>71</v>
      </c>
      <c r="G154" s="1072"/>
    </row>
    <row r="155" spans="1:7" ht="15" customHeight="1" x14ac:dyDescent="0.25">
      <c r="A155" s="1130"/>
      <c r="B155" s="998"/>
      <c r="C155" s="1131"/>
      <c r="D155" s="1131">
        <v>2050</v>
      </c>
      <c r="E155" s="1131"/>
      <c r="F155" s="1135" t="s">
        <v>70</v>
      </c>
      <c r="G155" s="1072"/>
    </row>
    <row r="156" spans="1:7" ht="15" customHeight="1" x14ac:dyDescent="0.25">
      <c r="A156" s="1133"/>
      <c r="B156" s="1005"/>
      <c r="C156" s="1064"/>
      <c r="D156" s="1064">
        <v>2030</v>
      </c>
      <c r="E156" s="1064"/>
      <c r="F156" s="1137" t="s">
        <v>69</v>
      </c>
      <c r="G156" s="1072"/>
    </row>
    <row r="157" spans="1:7" ht="15" customHeight="1" x14ac:dyDescent="0.25">
      <c r="A157" s="1130" t="s">
        <v>68</v>
      </c>
      <c r="B157" s="998" t="s">
        <v>57</v>
      </c>
      <c r="C157" s="1131" t="s">
        <v>67</v>
      </c>
      <c r="D157" s="1131">
        <v>2030</v>
      </c>
      <c r="E157" s="1131"/>
      <c r="F157" s="1135"/>
      <c r="G157" s="1072"/>
    </row>
    <row r="158" spans="1:7" ht="15" customHeight="1" x14ac:dyDescent="0.25">
      <c r="A158" s="1133" t="s">
        <v>66</v>
      </c>
      <c r="B158" s="1005" t="s">
        <v>57</v>
      </c>
      <c r="C158" s="1064" t="s">
        <v>65</v>
      </c>
      <c r="D158" s="1064"/>
      <c r="E158" s="1064"/>
      <c r="F158" s="1137"/>
      <c r="G158" s="1072"/>
    </row>
    <row r="159" spans="1:7" ht="15" customHeight="1" x14ac:dyDescent="0.25">
      <c r="A159" s="1130" t="s">
        <v>64</v>
      </c>
      <c r="B159" s="998" t="s">
        <v>57</v>
      </c>
      <c r="C159" s="1131" t="s">
        <v>63</v>
      </c>
      <c r="D159" s="1131"/>
      <c r="E159" s="1131"/>
      <c r="F159" s="1135"/>
      <c r="G159" s="1072"/>
    </row>
    <row r="160" spans="1:7" ht="15" customHeight="1" x14ac:dyDescent="0.25">
      <c r="A160" s="1133" t="s">
        <v>62</v>
      </c>
      <c r="B160" s="1005" t="s">
        <v>57</v>
      </c>
      <c r="C160" s="1064" t="s">
        <v>61</v>
      </c>
      <c r="D160" s="1064"/>
      <c r="E160" s="1064"/>
      <c r="F160" s="1137"/>
      <c r="G160" s="1072"/>
    </row>
    <row r="161" spans="1:7" ht="15" customHeight="1" x14ac:dyDescent="0.25">
      <c r="A161" s="1130" t="s">
        <v>60</v>
      </c>
      <c r="B161" s="998" t="s">
        <v>57</v>
      </c>
      <c r="C161" s="1131" t="s">
        <v>59</v>
      </c>
      <c r="D161" s="1131"/>
      <c r="E161" s="1131"/>
      <c r="F161" s="1135"/>
      <c r="G161" s="1072"/>
    </row>
    <row r="162" spans="1:7" ht="15" customHeight="1" x14ac:dyDescent="0.25">
      <c r="A162" s="1080" t="s">
        <v>58</v>
      </c>
      <c r="B162" s="958" t="s">
        <v>57</v>
      </c>
      <c r="C162" s="968" t="s">
        <v>56</v>
      </c>
      <c r="D162" s="968"/>
      <c r="E162" s="968"/>
      <c r="F162" s="1081"/>
      <c r="G162" s="1072"/>
    </row>
    <row r="163" spans="1:7" x14ac:dyDescent="0.25">
      <c r="B163" s="1075"/>
    </row>
    <row r="164" spans="1:7" x14ac:dyDescent="0.25">
      <c r="C164" s="1075"/>
      <c r="D164" s="1075"/>
      <c r="E164" s="1075"/>
    </row>
    <row r="166" spans="1:7" x14ac:dyDescent="0.25">
      <c r="C166" s="1076"/>
      <c r="D166" s="1076"/>
      <c r="E166" s="1076"/>
      <c r="F166" s="791"/>
    </row>
    <row r="167" spans="1:7" x14ac:dyDescent="0.25">
      <c r="A167" s="1077"/>
      <c r="B167" s="1077"/>
      <c r="C167" s="1078"/>
      <c r="D167" s="1078"/>
      <c r="E167" s="1078"/>
      <c r="F167" s="791"/>
    </row>
    <row r="168" spans="1:7" x14ac:dyDescent="0.25">
      <c r="C168" s="1073"/>
      <c r="D168" s="1073"/>
      <c r="E168" s="1073"/>
      <c r="F168" s="791"/>
    </row>
    <row r="169" spans="1:7" x14ac:dyDescent="0.25">
      <c r="C169" s="1073"/>
      <c r="D169" s="1073"/>
      <c r="E169" s="1073"/>
      <c r="F169" s="791"/>
    </row>
    <row r="170" spans="1:7" x14ac:dyDescent="0.25">
      <c r="C170" s="1073"/>
      <c r="D170" s="1073"/>
      <c r="E170" s="1073"/>
      <c r="F170" s="791"/>
    </row>
    <row r="171" spans="1:7" x14ac:dyDescent="0.25">
      <c r="C171" s="1073"/>
      <c r="D171" s="1073"/>
      <c r="E171" s="1073"/>
      <c r="F171" s="791"/>
    </row>
    <row r="172" spans="1:7" x14ac:dyDescent="0.25">
      <c r="C172" s="1073"/>
      <c r="D172" s="1073"/>
      <c r="E172" s="1073"/>
      <c r="F172" s="791"/>
    </row>
    <row r="173" spans="1:7" x14ac:dyDescent="0.25">
      <c r="C173" s="1073"/>
      <c r="D173" s="1073"/>
      <c r="E173" s="1073"/>
      <c r="F173" s="791"/>
    </row>
    <row r="174" spans="1:7" x14ac:dyDescent="0.25">
      <c r="C174" s="1073"/>
      <c r="D174" s="1073"/>
      <c r="E174" s="1073"/>
      <c r="F174" s="791"/>
    </row>
    <row r="175" spans="1:7" x14ac:dyDescent="0.25">
      <c r="C175" s="1073"/>
      <c r="D175" s="1073"/>
      <c r="E175" s="1073"/>
      <c r="F175" s="791"/>
    </row>
    <row r="176" spans="1:7" x14ac:dyDescent="0.25">
      <c r="C176" s="1073"/>
      <c r="D176" s="1073"/>
      <c r="E176" s="1073"/>
      <c r="F176" s="791"/>
    </row>
    <row r="177" spans="3:6" x14ac:dyDescent="0.25">
      <c r="C177" s="1073"/>
      <c r="D177" s="1073"/>
      <c r="E177" s="1073"/>
      <c r="F177" s="791"/>
    </row>
    <row r="178" spans="3:6" x14ac:dyDescent="0.25">
      <c r="C178" s="1073"/>
      <c r="D178" s="1073"/>
      <c r="E178" s="1073"/>
      <c r="F178" s="791"/>
    </row>
    <row r="179" spans="3:6" x14ac:dyDescent="0.25">
      <c r="C179" s="1073"/>
      <c r="D179" s="1073"/>
      <c r="E179" s="1073"/>
      <c r="F179" s="791"/>
    </row>
    <row r="180" spans="3:6" x14ac:dyDescent="0.25">
      <c r="C180" s="1073"/>
      <c r="D180" s="1073"/>
      <c r="E180" s="1073"/>
      <c r="F180" s="791"/>
    </row>
    <row r="181" spans="3:6" x14ac:dyDescent="0.25">
      <c r="C181" s="1073"/>
      <c r="D181" s="1073"/>
      <c r="E181" s="1073"/>
      <c r="F181" s="791"/>
    </row>
    <row r="182" spans="3:6" x14ac:dyDescent="0.25">
      <c r="C182" s="1073"/>
      <c r="D182" s="1073"/>
      <c r="E182" s="1073"/>
      <c r="F182" s="791"/>
    </row>
    <row r="183" spans="3:6" x14ac:dyDescent="0.25">
      <c r="C183" s="1073"/>
      <c r="D183" s="1073"/>
      <c r="E183" s="1073"/>
      <c r="F183" s="791"/>
    </row>
    <row r="184" spans="3:6" x14ac:dyDescent="0.25">
      <c r="C184" s="1073"/>
      <c r="D184" s="1073"/>
      <c r="E184" s="1073"/>
      <c r="F184" s="791"/>
    </row>
    <row r="185" spans="3:6" x14ac:dyDescent="0.25">
      <c r="C185" s="1073"/>
      <c r="D185" s="1073"/>
      <c r="E185" s="1073"/>
      <c r="F185" s="791"/>
    </row>
    <row r="186" spans="3:6" x14ac:dyDescent="0.25">
      <c r="C186" s="1073"/>
      <c r="D186" s="1073"/>
      <c r="E186" s="1073"/>
      <c r="F186" s="791"/>
    </row>
    <row r="187" spans="3:6" x14ac:dyDescent="0.25">
      <c r="C187" s="1073"/>
      <c r="D187" s="1073"/>
      <c r="E187" s="1073"/>
      <c r="F187" s="791"/>
    </row>
    <row r="188" spans="3:6" x14ac:dyDescent="0.25">
      <c r="C188" s="1073"/>
      <c r="D188" s="1073"/>
      <c r="E188" s="1073"/>
      <c r="F188" s="791"/>
    </row>
    <row r="189" spans="3:6" x14ac:dyDescent="0.25">
      <c r="C189" s="1073"/>
      <c r="D189" s="1073"/>
      <c r="E189" s="1073"/>
      <c r="F189" s="791"/>
    </row>
    <row r="190" spans="3:6" x14ac:dyDescent="0.25">
      <c r="C190" s="1073"/>
      <c r="D190" s="1073"/>
      <c r="E190" s="1073"/>
      <c r="F190" s="791"/>
    </row>
    <row r="191" spans="3:6" x14ac:dyDescent="0.25">
      <c r="C191" s="1073"/>
      <c r="D191" s="1073"/>
      <c r="E191" s="1073"/>
      <c r="F191" s="791"/>
    </row>
    <row r="192" spans="3:6" x14ac:dyDescent="0.25">
      <c r="C192" s="1073"/>
      <c r="D192" s="1073"/>
      <c r="E192" s="1073"/>
      <c r="F192" s="791"/>
    </row>
    <row r="193" spans="3:6" x14ac:dyDescent="0.25">
      <c r="C193" s="1073"/>
      <c r="D193" s="1073"/>
      <c r="E193" s="1073"/>
      <c r="F193" s="791"/>
    </row>
    <row r="194" spans="3:6" x14ac:dyDescent="0.25">
      <c r="C194" s="1073"/>
      <c r="D194" s="1073"/>
      <c r="E194" s="1073"/>
      <c r="F194" s="791"/>
    </row>
    <row r="195" spans="3:6" x14ac:dyDescent="0.25">
      <c r="C195" s="1073"/>
      <c r="D195" s="1073"/>
      <c r="E195" s="1073"/>
      <c r="F195" s="791"/>
    </row>
    <row r="196" spans="3:6" x14ac:dyDescent="0.25">
      <c r="C196" s="1073"/>
      <c r="D196" s="1073"/>
      <c r="E196" s="1073"/>
      <c r="F196" s="791"/>
    </row>
    <row r="197" spans="3:6" x14ac:dyDescent="0.25">
      <c r="C197" s="1073"/>
      <c r="D197" s="1073"/>
      <c r="E197" s="1073"/>
      <c r="F197" s="791"/>
    </row>
    <row r="198" spans="3:6" x14ac:dyDescent="0.25">
      <c r="C198" s="1073"/>
      <c r="D198" s="1073"/>
      <c r="E198" s="1073"/>
      <c r="F198" s="791"/>
    </row>
    <row r="199" spans="3:6" x14ac:dyDescent="0.25">
      <c r="C199" s="1073"/>
      <c r="D199" s="1073"/>
      <c r="E199" s="1073"/>
      <c r="F199" s="791"/>
    </row>
    <row r="200" spans="3:6" x14ac:dyDescent="0.25">
      <c r="C200" s="1079"/>
      <c r="D200" s="1079"/>
      <c r="E200" s="1079"/>
      <c r="F200" s="791"/>
    </row>
    <row r="201" spans="3:6" x14ac:dyDescent="0.25">
      <c r="C201" s="1073"/>
      <c r="D201" s="1073"/>
      <c r="E201" s="1073"/>
      <c r="F201" s="791"/>
    </row>
    <row r="202" spans="3:6" x14ac:dyDescent="0.25">
      <c r="C202" s="23"/>
      <c r="D202" s="23"/>
      <c r="E202" s="23"/>
      <c r="F202" s="791"/>
    </row>
    <row r="203" spans="3:6" x14ac:dyDescent="0.25">
      <c r="C203" s="23"/>
      <c r="D203" s="23"/>
      <c r="E203" s="23"/>
      <c r="F203" s="791"/>
    </row>
    <row r="204" spans="3:6" x14ac:dyDescent="0.25">
      <c r="C204" s="1073"/>
      <c r="D204" s="1073"/>
      <c r="E204" s="1073"/>
      <c r="F204" s="791"/>
    </row>
    <row r="205" spans="3:6" x14ac:dyDescent="0.25">
      <c r="C205" s="1076"/>
      <c r="D205" s="1076"/>
      <c r="E205" s="1076"/>
      <c r="F205" s="791"/>
    </row>
    <row r="206" spans="3:6" x14ac:dyDescent="0.25">
      <c r="C206" s="1073"/>
      <c r="D206" s="1073"/>
      <c r="E206" s="1073"/>
      <c r="F206" s="791"/>
    </row>
    <row r="207" spans="3:6" x14ac:dyDescent="0.25">
      <c r="C207" s="1073"/>
      <c r="D207" s="1073"/>
      <c r="E207" s="1073"/>
      <c r="F207" s="791"/>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08"/>
  <sheetViews>
    <sheetView workbookViewId="0">
      <selection activeCell="H35" sqref="H35"/>
    </sheetView>
  </sheetViews>
  <sheetFormatPr defaultColWidth="9.140625" defaultRowHeight="15" x14ac:dyDescent="0.25"/>
  <cols>
    <col min="1" max="1" width="22.7109375" style="534" bestFit="1" customWidth="1"/>
    <col min="2" max="2" width="34.140625" style="534" bestFit="1" customWidth="1"/>
    <col min="3" max="3" width="9.140625" style="972"/>
    <col min="4" max="5" width="9.140625" style="534"/>
    <col min="6" max="6" width="9.140625" style="385"/>
    <col min="7" max="7" width="42.140625" style="534" bestFit="1" customWidth="1"/>
    <col min="8" max="8" width="30.5703125" style="385" bestFit="1" customWidth="1"/>
    <col min="9" max="16384" width="9.140625" style="534"/>
  </cols>
  <sheetData>
    <row r="1" spans="1:8" x14ac:dyDescent="0.25">
      <c r="A1" s="969" t="s">
        <v>2573</v>
      </c>
      <c r="B1" s="969"/>
      <c r="C1" s="971"/>
      <c r="D1" s="970"/>
      <c r="E1" s="970"/>
      <c r="F1" s="971"/>
      <c r="G1" s="970"/>
      <c r="H1" s="971"/>
    </row>
    <row r="2" spans="1:8" x14ac:dyDescent="0.25">
      <c r="A2" s="536" t="s">
        <v>1</v>
      </c>
      <c r="B2" s="536" t="s">
        <v>1901</v>
      </c>
      <c r="C2" s="667" t="s">
        <v>1902</v>
      </c>
      <c r="D2" s="536" t="s">
        <v>1903</v>
      </c>
      <c r="E2" s="536" t="s">
        <v>2</v>
      </c>
      <c r="F2" s="667" t="s">
        <v>1905</v>
      </c>
      <c r="G2" s="536" t="s">
        <v>1944</v>
      </c>
      <c r="H2" s="667" t="s">
        <v>690</v>
      </c>
    </row>
    <row r="3" spans="1:8" x14ac:dyDescent="0.25">
      <c r="A3" s="534" t="s">
        <v>12</v>
      </c>
      <c r="B3" s="534" t="s">
        <v>2095</v>
      </c>
      <c r="C3" s="972">
        <f>SUMIF('NDC emission targets'!$C$4:$C$81,'Protocol NDCs (numerical)'!$A3,'NDC emission targets'!$AU$4:$AU$81)</f>
        <v>1.0996192518634818</v>
      </c>
      <c r="D3" s="534" t="s">
        <v>1904</v>
      </c>
      <c r="E3" s="534">
        <v>2010</v>
      </c>
      <c r="F3" s="385">
        <f>SUMIF('NDC emission targets'!$C$4:$C$81,'Protocol NDCs (numerical)'!$A3,'NDC emission targets'!$AH$4:$AH$81)</f>
        <v>2030</v>
      </c>
      <c r="G3" s="534" t="s">
        <v>2565</v>
      </c>
      <c r="H3" s="385" t="str">
        <f t="shared" ref="H3:H37" si="0">IF(C3=0,"Not provided, check NDC sheets","-")</f>
        <v>-</v>
      </c>
    </row>
    <row r="4" spans="1:8" x14ac:dyDescent="0.25">
      <c r="A4" s="534" t="s">
        <v>7</v>
      </c>
      <c r="B4" s="534" t="s">
        <v>2095</v>
      </c>
      <c r="C4" s="972">
        <f>SUMIF('NDC emission targets'!$C$4:$C$81,'Protocol NDCs (numerical)'!$A4,'NDC emission targets'!$AU$4:$AU$81)</f>
        <v>0.70157651683313749</v>
      </c>
      <c r="D4" s="534" t="s">
        <v>1904</v>
      </c>
      <c r="E4" s="534">
        <v>2010</v>
      </c>
      <c r="F4" s="385">
        <f>SUMIF('NDC emission targets'!$C$4:$C$81,'Protocol NDCs (numerical)'!$A4,'NDC emission targets'!$AH$4:$AH$81)</f>
        <v>2030</v>
      </c>
      <c r="G4" s="534" t="s">
        <v>2565</v>
      </c>
      <c r="H4" s="385" t="str">
        <f t="shared" si="0"/>
        <v>-</v>
      </c>
    </row>
    <row r="5" spans="1:8" x14ac:dyDescent="0.25">
      <c r="A5" s="534" t="s">
        <v>0</v>
      </c>
      <c r="B5" s="534" t="s">
        <v>2095</v>
      </c>
      <c r="C5" s="972">
        <f>SUMIF('NDC emission targets'!$C$4:$C$81,'Protocol NDCs (numerical)'!$A5,'NDC emission targets'!$AU$4:$AU$81)</f>
        <v>0.79804025206190987</v>
      </c>
      <c r="D5" s="534" t="s">
        <v>1904</v>
      </c>
      <c r="E5" s="534">
        <v>2010</v>
      </c>
      <c r="F5" s="385">
        <f>SUMIF('NDC emission targets'!$C$4:$C$81,'Protocol NDCs (numerical)'!$A5,'NDC emission targets'!$AH$4:$AH$81)</f>
        <v>2025</v>
      </c>
      <c r="G5" s="534" t="s">
        <v>2565</v>
      </c>
      <c r="H5" s="385" t="str">
        <f t="shared" si="0"/>
        <v>-</v>
      </c>
    </row>
    <row r="6" spans="1:8" x14ac:dyDescent="0.25">
      <c r="A6" s="534" t="s">
        <v>18</v>
      </c>
      <c r="B6" s="534" t="s">
        <v>2095</v>
      </c>
      <c r="C6" s="972">
        <f>SUMIF('NDC emission targets'!$C$4:$C$81,'Protocol NDCs (numerical)'!$A6,'NDC emission targets'!$AU$4:$AU$81)</f>
        <v>0.56416431455389682</v>
      </c>
      <c r="D6" s="534" t="s">
        <v>1904</v>
      </c>
      <c r="E6" s="534">
        <v>2010</v>
      </c>
      <c r="F6" s="385">
        <f>SUMIF('NDC emission targets'!$C$4:$C$81,'Protocol NDCs (numerical)'!$A6,'NDC emission targets'!$AH$4:$AH$81)</f>
        <v>2030</v>
      </c>
      <c r="G6" s="534" t="s">
        <v>2565</v>
      </c>
      <c r="H6" s="385" t="str">
        <f t="shared" si="0"/>
        <v>-</v>
      </c>
    </row>
    <row r="7" spans="1:8" x14ac:dyDescent="0.25">
      <c r="A7" s="534" t="s">
        <v>11</v>
      </c>
      <c r="B7" s="534" t="s">
        <v>2095</v>
      </c>
      <c r="C7" s="972">
        <f>SUMIF('NDC emission targets'!$C$4:$C$81,'Protocol NDCs (numerical)'!$A7,'NDC emission targets'!$AU$4:$AU$81)</f>
        <v>0</v>
      </c>
      <c r="D7" s="534" t="s">
        <v>1904</v>
      </c>
      <c r="E7" s="534">
        <v>2010</v>
      </c>
      <c r="F7" s="385">
        <f>SUMIF('NDC emission targets'!$C$4:$C$81,'Protocol NDCs (numerical)'!$A7,'NDC emission targets'!$AH$4:$AH$81)</f>
        <v>2030</v>
      </c>
      <c r="G7" s="534" t="s">
        <v>2565</v>
      </c>
      <c r="H7" s="385" t="str">
        <f t="shared" si="0"/>
        <v>Not provided, check NDC sheets</v>
      </c>
    </row>
    <row r="8" spans="1:8" x14ac:dyDescent="0.25">
      <c r="A8" s="534" t="s">
        <v>13</v>
      </c>
      <c r="B8" s="534" t="s">
        <v>2095</v>
      </c>
      <c r="C8" s="972">
        <f>SUMIF('NDC emission targets'!$C$4:$C$81,'Protocol NDCs (numerical)'!$A8,'NDC emission targets'!$AU$4:$AU$81)</f>
        <v>0.67891660780092355</v>
      </c>
      <c r="D8" s="534" t="s">
        <v>1904</v>
      </c>
      <c r="E8" s="534">
        <v>2010</v>
      </c>
      <c r="F8" s="385">
        <f>SUMIF('NDC emission targets'!$C$4:$C$81,'Protocol NDCs (numerical)'!$A8,'NDC emission targets'!$AH$4:$AH$81)</f>
        <v>2030</v>
      </c>
      <c r="G8" s="534" t="s">
        <v>2565</v>
      </c>
      <c r="H8" s="385" t="str">
        <f t="shared" si="0"/>
        <v>-</v>
      </c>
    </row>
    <row r="9" spans="1:8" x14ac:dyDescent="0.25">
      <c r="A9" s="534" t="s">
        <v>4</v>
      </c>
      <c r="B9" s="534" t="s">
        <v>2095</v>
      </c>
      <c r="C9" s="972">
        <f>SUMIF('NDC emission targets'!$C$4:$C$81,'Protocol NDCs (numerical)'!$A9,'NDC emission targets'!$AU$4:$AU$81)</f>
        <v>0</v>
      </c>
      <c r="D9" s="534" t="s">
        <v>1904</v>
      </c>
      <c r="E9" s="534">
        <v>2010</v>
      </c>
      <c r="F9" s="385">
        <f>SUMIF('NDC emission targets'!$C$4:$C$81,'Protocol NDCs (numerical)'!$A9,'NDC emission targets'!$AH$4:$AH$81)</f>
        <v>2030</v>
      </c>
      <c r="G9" s="534" t="s">
        <v>2565</v>
      </c>
      <c r="H9" s="385" t="str">
        <f t="shared" si="0"/>
        <v>Not provided, check NDC sheets</v>
      </c>
    </row>
    <row r="10" spans="1:8" x14ac:dyDescent="0.25">
      <c r="A10" s="534" t="s">
        <v>6</v>
      </c>
      <c r="B10" s="534" t="s">
        <v>2095</v>
      </c>
      <c r="C10" s="972">
        <f>SUMIF('NDC emission targets'!$C$4:$C$81,'Protocol NDCs (numerical)'!$A10,'NDC emission targets'!$AU$4:$AU$81)</f>
        <v>0.7913660012485999</v>
      </c>
      <c r="D10" s="534" t="s">
        <v>1904</v>
      </c>
      <c r="E10" s="534">
        <v>2010</v>
      </c>
      <c r="F10" s="385">
        <f>SUMIF('NDC emission targets'!$C$4:$C$81,'Protocol NDCs (numerical)'!$A10,'NDC emission targets'!$AH$4:$AH$81)</f>
        <v>2030</v>
      </c>
      <c r="G10" s="534" t="s">
        <v>2565</v>
      </c>
      <c r="H10" s="385" t="str">
        <f t="shared" si="0"/>
        <v>-</v>
      </c>
    </row>
    <row r="11" spans="1:8" x14ac:dyDescent="0.25">
      <c r="A11" s="534" t="s">
        <v>14</v>
      </c>
      <c r="B11" s="534" t="s">
        <v>2095</v>
      </c>
      <c r="C11" s="972">
        <f>SUMIF('NDC emission targets'!$C$4:$C$81,'Protocol NDCs (numerical)'!$A11,'NDC emission targets'!$AU$4:$AU$81)</f>
        <v>0.89114923165058502</v>
      </c>
      <c r="D11" s="534" t="s">
        <v>1904</v>
      </c>
      <c r="E11" s="534">
        <v>2010</v>
      </c>
      <c r="F11" s="385">
        <f>SUMIF('NDC emission targets'!$C$4:$C$81,'Protocol NDCs (numerical)'!$A11,'NDC emission targets'!$AH$4:$AH$81)</f>
        <v>2030</v>
      </c>
      <c r="G11" s="534" t="s">
        <v>2565</v>
      </c>
      <c r="H11" s="385" t="str">
        <f t="shared" si="0"/>
        <v>-</v>
      </c>
    </row>
    <row r="12" spans="1:8" x14ac:dyDescent="0.25">
      <c r="A12" s="534" t="s">
        <v>247</v>
      </c>
      <c r="B12" s="534" t="s">
        <v>2095</v>
      </c>
      <c r="C12" s="972">
        <f>SUMIF('NDC emission targets'!$C$4:$C$81,'Protocol NDCs (numerical)'!$A12,'NDC emission targets'!$AU$4:$AU$81)</f>
        <v>0</v>
      </c>
      <c r="D12" s="534" t="s">
        <v>1904</v>
      </c>
      <c r="E12" s="534">
        <v>2010</v>
      </c>
      <c r="F12" s="385">
        <f>SUMIF('NDC emission targets'!$C$4:$C$81,'Protocol NDCs (numerical)'!$A12,'NDC emission targets'!$AH$4:$AH$81)</f>
        <v>2030</v>
      </c>
      <c r="G12" s="534" t="s">
        <v>2565</v>
      </c>
      <c r="H12" s="385" t="str">
        <f t="shared" si="0"/>
        <v>Not provided, check NDC sheets</v>
      </c>
    </row>
    <row r="13" spans="1:8" x14ac:dyDescent="0.25">
      <c r="A13" s="534" t="s">
        <v>15</v>
      </c>
      <c r="B13" s="534" t="s">
        <v>2095</v>
      </c>
      <c r="C13" s="972">
        <f>SUMIF('NDC emission targets'!$C$4:$C$81,'Protocol NDCs (numerical)'!$A13,'NDC emission targets'!$AU$4:$AU$81)</f>
        <v>0.85432844011524223</v>
      </c>
      <c r="D13" s="534" t="s">
        <v>1904</v>
      </c>
      <c r="E13" s="534">
        <v>2010</v>
      </c>
      <c r="F13" s="385">
        <f>SUMIF('NDC emission targets'!$C$4:$C$81,'Protocol NDCs (numerical)'!$A13,'NDC emission targets'!$AH$4:$AH$81)</f>
        <v>2030</v>
      </c>
      <c r="G13" s="534" t="s">
        <v>2565</v>
      </c>
      <c r="H13" s="385" t="str">
        <f t="shared" si="0"/>
        <v>-</v>
      </c>
    </row>
    <row r="14" spans="1:8" x14ac:dyDescent="0.25">
      <c r="A14" s="534" t="s">
        <v>181</v>
      </c>
      <c r="B14" s="534" t="s">
        <v>2095</v>
      </c>
      <c r="C14" s="972">
        <f>SUMIF('NDC emission targets'!$C$4:$C$81,'Protocol NDCs (numerical)'!$A14,'NDC emission targets'!$AU$4:$AU$81)</f>
        <v>1.0585855645696622</v>
      </c>
      <c r="D14" s="534" t="s">
        <v>1904</v>
      </c>
      <c r="E14" s="534">
        <v>2010</v>
      </c>
      <c r="F14" s="385">
        <f>SUMIF('NDC emission targets'!$C$4:$C$81,'Protocol NDCs (numerical)'!$A14,'NDC emission targets'!$AH$4:$AH$81)</f>
        <v>2030</v>
      </c>
      <c r="G14" s="534" t="s">
        <v>2565</v>
      </c>
      <c r="H14" s="385" t="str">
        <f t="shared" si="0"/>
        <v>-</v>
      </c>
    </row>
    <row r="15" spans="1:8" x14ac:dyDescent="0.25">
      <c r="A15" s="534" t="s">
        <v>17</v>
      </c>
      <c r="B15" s="534" t="s">
        <v>2095</v>
      </c>
      <c r="C15" s="972">
        <f>SUMIF('NDC emission targets'!$C$4:$C$81,'Protocol NDCs (numerical)'!$A15,'NDC emission targets'!$AU$4:$AU$81)</f>
        <v>0</v>
      </c>
      <c r="D15" s="534" t="s">
        <v>1904</v>
      </c>
      <c r="E15" s="534">
        <v>2010</v>
      </c>
      <c r="F15" s="385">
        <f>SUMIF('NDC emission targets'!$C$4:$C$81,'Protocol NDCs (numerical)'!$A15,'NDC emission targets'!$AH$4:$AH$81)</f>
        <v>2030</v>
      </c>
      <c r="G15" s="534" t="s">
        <v>2565</v>
      </c>
      <c r="H15" s="385" t="str">
        <f t="shared" si="0"/>
        <v>Not provided, check NDC sheets</v>
      </c>
    </row>
    <row r="16" spans="1:8" x14ac:dyDescent="0.25">
      <c r="A16" s="534" t="s">
        <v>19</v>
      </c>
      <c r="B16" s="534" t="s">
        <v>2095</v>
      </c>
      <c r="C16" s="972">
        <f>SUMIF('NDC emission targets'!$C$4:$C$81,'Protocol NDCs (numerical)'!$A16,'NDC emission targets'!$AU$4:$AU$81)</f>
        <v>0.97368424889032601</v>
      </c>
      <c r="D16" s="534" t="s">
        <v>1904</v>
      </c>
      <c r="E16" s="534">
        <v>2010</v>
      </c>
      <c r="F16" s="385">
        <f>SUMIF('NDC emission targets'!$C$4:$C$81,'Protocol NDCs (numerical)'!$A16,'NDC emission targets'!$AH$4:$AH$81)</f>
        <v>2030</v>
      </c>
      <c r="G16" s="534" t="s">
        <v>2565</v>
      </c>
      <c r="H16" s="385" t="str">
        <f t="shared" si="0"/>
        <v>-</v>
      </c>
    </row>
    <row r="17" spans="1:8" x14ac:dyDescent="0.25">
      <c r="A17" s="534" t="s">
        <v>21</v>
      </c>
      <c r="B17" s="534" t="s">
        <v>2095</v>
      </c>
      <c r="C17" s="972">
        <f>SUMIF('NDC emission targets'!$C$4:$C$81,'Protocol NDCs (numerical)'!$A17,'NDC emission targets'!$AU$4:$AU$81)</f>
        <v>2.5419853865977138</v>
      </c>
      <c r="D17" s="534" t="s">
        <v>1904</v>
      </c>
      <c r="E17" s="534">
        <v>2010</v>
      </c>
      <c r="F17" s="385">
        <f>SUMIF('NDC emission targets'!$C$4:$C$81,'Protocol NDCs (numerical)'!$A17,'NDC emission targets'!$AH$4:$AH$81)</f>
        <v>2030</v>
      </c>
      <c r="G17" s="534" t="s">
        <v>2565</v>
      </c>
      <c r="H17" s="385" t="str">
        <f t="shared" si="0"/>
        <v>-</v>
      </c>
    </row>
    <row r="18" spans="1:8" x14ac:dyDescent="0.25">
      <c r="A18" s="534" t="s">
        <v>22</v>
      </c>
      <c r="B18" s="534" t="s">
        <v>2095</v>
      </c>
      <c r="C18" s="972">
        <f>SUMIF('NDC emission targets'!$C$4:$C$81,'Protocol NDCs (numerical)'!$A18,'NDC emission targets'!$AU$4:$AU$81)</f>
        <v>0.68325493576145557</v>
      </c>
      <c r="D18" s="534" t="s">
        <v>1904</v>
      </c>
      <c r="E18" s="534">
        <v>2010</v>
      </c>
      <c r="F18" s="385">
        <f>SUMIF('NDC emission targets'!$C$4:$C$81,'Protocol NDCs (numerical)'!$A18,'NDC emission targets'!$AH$4:$AH$81)</f>
        <v>2025</v>
      </c>
      <c r="G18" s="534" t="s">
        <v>2565</v>
      </c>
      <c r="H18" s="385" t="str">
        <f t="shared" si="0"/>
        <v>-</v>
      </c>
    </row>
    <row r="19" spans="1:8" x14ac:dyDescent="0.25">
      <c r="A19" s="534" t="s">
        <v>12</v>
      </c>
      <c r="B19" s="534" t="s">
        <v>2096</v>
      </c>
      <c r="C19" s="972">
        <f>SUMIF('NDC emission targets'!$C$4:$C$81,'Protocol NDCs (numerical)'!$A19,'NDC emission targets'!$AV$4:$AV$81)</f>
        <v>1.0667922821826952</v>
      </c>
      <c r="D19" s="534" t="s">
        <v>1904</v>
      </c>
      <c r="E19" s="534">
        <v>2010</v>
      </c>
      <c r="F19" s="385">
        <f>SUMIF('NDC emission targets'!$C$4:$C$81,'Protocol NDCs (numerical)'!$A19,'NDC emission targets'!$AH$4:$AH$81)</f>
        <v>2030</v>
      </c>
      <c r="G19" s="534" t="s">
        <v>2566</v>
      </c>
      <c r="H19" s="385" t="str">
        <f t="shared" si="0"/>
        <v>-</v>
      </c>
    </row>
    <row r="20" spans="1:8" x14ac:dyDescent="0.25">
      <c r="A20" s="534" t="s">
        <v>7</v>
      </c>
      <c r="B20" s="534" t="s">
        <v>2096</v>
      </c>
      <c r="C20" s="972">
        <f>SUMIF('NDC emission targets'!$C$4:$C$81,'Protocol NDCs (numerical)'!$A20,'NDC emission targets'!$AV$4:$AV$81)</f>
        <v>0.64226898201910543</v>
      </c>
      <c r="D20" s="534" t="s">
        <v>1904</v>
      </c>
      <c r="E20" s="534">
        <v>2010</v>
      </c>
      <c r="F20" s="385">
        <f>SUMIF('NDC emission targets'!$C$4:$C$81,'Protocol NDCs (numerical)'!$A20,'NDC emission targets'!$AH$4:$AH$81)</f>
        <v>2030</v>
      </c>
      <c r="G20" s="534" t="s">
        <v>2566</v>
      </c>
      <c r="H20" s="385" t="str">
        <f t="shared" si="0"/>
        <v>-</v>
      </c>
    </row>
    <row r="21" spans="1:8" x14ac:dyDescent="0.25">
      <c r="A21" s="534" t="s">
        <v>0</v>
      </c>
      <c r="B21" s="534" t="s">
        <v>2096</v>
      </c>
      <c r="C21" s="972">
        <f>SUMIF('NDC emission targets'!$C$4:$C$81,'Protocol NDCs (numerical)'!$A21,'NDC emission targets'!$AV$4:$AV$81)</f>
        <v>1.1701170117011701</v>
      </c>
      <c r="D21" s="534" t="s">
        <v>1904</v>
      </c>
      <c r="E21" s="534">
        <v>2010</v>
      </c>
      <c r="F21" s="385">
        <f>SUMIF('NDC emission targets'!$C$4:$C$81,'Protocol NDCs (numerical)'!$A21,'NDC emission targets'!$AH$4:$AH$81)</f>
        <v>2025</v>
      </c>
      <c r="G21" s="534" t="s">
        <v>2566</v>
      </c>
      <c r="H21" s="385" t="str">
        <f t="shared" si="0"/>
        <v>-</v>
      </c>
    </row>
    <row r="22" spans="1:8" x14ac:dyDescent="0.25">
      <c r="A22" s="534" t="s">
        <v>18</v>
      </c>
      <c r="B22" s="534" t="s">
        <v>2096</v>
      </c>
      <c r="C22" s="972">
        <f>SUMIF('NDC emission targets'!$C$4:$C$81,'Protocol NDCs (numerical)'!$A22,'NDC emission targets'!$AV$4:$AV$81)</f>
        <v>0.73560099190283401</v>
      </c>
      <c r="D22" s="534" t="s">
        <v>1904</v>
      </c>
      <c r="E22" s="534">
        <v>2010</v>
      </c>
      <c r="F22" s="385">
        <f>SUMIF('NDC emission targets'!$C$4:$C$81,'Protocol NDCs (numerical)'!$A22,'NDC emission targets'!$AH$4:$AH$81)</f>
        <v>2030</v>
      </c>
      <c r="G22" s="534" t="s">
        <v>2566</v>
      </c>
      <c r="H22" s="385" t="str">
        <f t="shared" si="0"/>
        <v>-</v>
      </c>
    </row>
    <row r="23" spans="1:8" x14ac:dyDescent="0.25">
      <c r="A23" s="534" t="s">
        <v>11</v>
      </c>
      <c r="B23" s="534" t="s">
        <v>2096</v>
      </c>
      <c r="C23" s="972">
        <f>SUMIF('NDC emission targets'!$C$4:$C$81,'Protocol NDCs (numerical)'!$A23,'NDC emission targets'!$AV$4:$AV$81)</f>
        <v>0</v>
      </c>
      <c r="D23" s="534" t="s">
        <v>1904</v>
      </c>
      <c r="E23" s="534">
        <v>2010</v>
      </c>
      <c r="F23" s="385">
        <f>SUMIF('NDC emission targets'!$C$4:$C$81,'Protocol NDCs (numerical)'!$A23,'NDC emission targets'!$AH$4:$AH$81)</f>
        <v>2030</v>
      </c>
      <c r="G23" s="534" t="s">
        <v>2566</v>
      </c>
      <c r="H23" s="385" t="str">
        <f t="shared" si="0"/>
        <v>Not provided, check NDC sheets</v>
      </c>
    </row>
    <row r="24" spans="1:8" x14ac:dyDescent="0.25">
      <c r="A24" s="534" t="s">
        <v>13</v>
      </c>
      <c r="B24" s="534" t="s">
        <v>2096</v>
      </c>
      <c r="C24" s="972">
        <f>SUMIF('NDC emission targets'!$C$4:$C$81,'Protocol NDCs (numerical)'!$A24,'NDC emission targets'!$AV$4:$AV$81)</f>
        <v>0.6891421323714042</v>
      </c>
      <c r="D24" s="534" t="s">
        <v>1904</v>
      </c>
      <c r="E24" s="534">
        <v>2010</v>
      </c>
      <c r="F24" s="385">
        <f>SUMIF('NDC emission targets'!$C$4:$C$81,'Protocol NDCs (numerical)'!$A24,'NDC emission targets'!$AH$4:$AH$81)</f>
        <v>2030</v>
      </c>
      <c r="G24" s="534" t="s">
        <v>2566</v>
      </c>
      <c r="H24" s="385" t="str">
        <f t="shared" si="0"/>
        <v>-</v>
      </c>
    </row>
    <row r="25" spans="1:8" x14ac:dyDescent="0.25">
      <c r="A25" s="534" t="s">
        <v>4</v>
      </c>
      <c r="B25" s="534" t="s">
        <v>2096</v>
      </c>
      <c r="C25" s="972">
        <f>SUMIF('NDC emission targets'!$C$4:$C$81,'Protocol NDCs (numerical)'!$A25,'NDC emission targets'!$AV$4:$AV$81)</f>
        <v>0</v>
      </c>
      <c r="D25" s="534" t="s">
        <v>1904</v>
      </c>
      <c r="E25" s="534">
        <v>2010</v>
      </c>
      <c r="F25" s="385">
        <f>SUMIF('NDC emission targets'!$C$4:$C$81,'Protocol NDCs (numerical)'!$A25,'NDC emission targets'!$AH$4:$AH$81)</f>
        <v>2030</v>
      </c>
      <c r="G25" s="534" t="s">
        <v>2566</v>
      </c>
      <c r="H25" s="385" t="str">
        <f t="shared" si="0"/>
        <v>Not provided, check NDC sheets</v>
      </c>
    </row>
    <row r="26" spans="1:8" x14ac:dyDescent="0.25">
      <c r="A26" s="534" t="s">
        <v>6</v>
      </c>
      <c r="B26" s="534" t="s">
        <v>2096</v>
      </c>
      <c r="C26" s="972">
        <f>SUMIF('NDC emission targets'!$C$4:$C$81,'Protocol NDCs (numerical)'!$A26,'NDC emission targets'!$AV$4:$AV$81)</f>
        <v>1.4835546894117648</v>
      </c>
      <c r="D26" s="534" t="s">
        <v>1904</v>
      </c>
      <c r="E26" s="534">
        <v>2010</v>
      </c>
      <c r="F26" s="385">
        <f>SUMIF('NDC emission targets'!$C$4:$C$81,'Protocol NDCs (numerical)'!$A26,'NDC emission targets'!$AH$4:$AH$81)</f>
        <v>2030</v>
      </c>
      <c r="G26" s="534" t="s">
        <v>2566</v>
      </c>
      <c r="H26" s="385" t="str">
        <f t="shared" si="0"/>
        <v>-</v>
      </c>
    </row>
    <row r="27" spans="1:8" x14ac:dyDescent="0.25">
      <c r="A27" s="534" t="s">
        <v>14</v>
      </c>
      <c r="B27" s="534" t="s">
        <v>2096</v>
      </c>
      <c r="C27" s="972">
        <f>SUMIF('NDC emission targets'!$C$4:$C$81,'Protocol NDCs (numerical)'!$A27,'NDC emission targets'!$AV$4:$AV$81)</f>
        <v>0.85090341254130608</v>
      </c>
      <c r="D27" s="534" t="s">
        <v>1904</v>
      </c>
      <c r="E27" s="534">
        <v>2010</v>
      </c>
      <c r="F27" s="385">
        <f>SUMIF('NDC emission targets'!$C$4:$C$81,'Protocol NDCs (numerical)'!$A27,'NDC emission targets'!$AH$4:$AH$81)</f>
        <v>2030</v>
      </c>
      <c r="G27" s="534" t="s">
        <v>2566</v>
      </c>
      <c r="H27" s="385" t="str">
        <f t="shared" si="0"/>
        <v>-</v>
      </c>
    </row>
    <row r="28" spans="1:8" x14ac:dyDescent="0.25">
      <c r="A28" s="534" t="s">
        <v>247</v>
      </c>
      <c r="B28" s="534" t="s">
        <v>2096</v>
      </c>
      <c r="C28" s="972">
        <f>SUMIF('NDC emission targets'!$C$4:$C$81,'Protocol NDCs (numerical)'!$A28,'NDC emission targets'!$AV$4:$AV$81)</f>
        <v>0.8446605614488597</v>
      </c>
      <c r="D28" s="534" t="s">
        <v>1904</v>
      </c>
      <c r="E28" s="534">
        <v>2010</v>
      </c>
      <c r="F28" s="385">
        <f>SUMIF('NDC emission targets'!$C$4:$C$81,'Protocol NDCs (numerical)'!$A28,'NDC emission targets'!$AH$4:$AH$81)</f>
        <v>2030</v>
      </c>
      <c r="G28" s="534" t="s">
        <v>2566</v>
      </c>
      <c r="H28" s="385" t="str">
        <f t="shared" si="0"/>
        <v>-</v>
      </c>
    </row>
    <row r="29" spans="1:8" x14ac:dyDescent="0.25">
      <c r="A29" s="534" t="s">
        <v>15</v>
      </c>
      <c r="B29" s="534" t="s">
        <v>2096</v>
      </c>
      <c r="C29" s="972">
        <f>SUMIF('NDC emission targets'!$C$4:$C$81,'Protocol NDCs (numerical)'!$A29,'NDC emission targets'!$AV$4:$AV$81)</f>
        <v>0.86741886056553841</v>
      </c>
      <c r="D29" s="534" t="s">
        <v>1904</v>
      </c>
      <c r="E29" s="534">
        <v>2010</v>
      </c>
      <c r="F29" s="385">
        <f>SUMIF('NDC emission targets'!$C$4:$C$81,'Protocol NDCs (numerical)'!$A29,'NDC emission targets'!$AH$4:$AH$81)</f>
        <v>2030</v>
      </c>
      <c r="G29" s="534" t="s">
        <v>2566</v>
      </c>
      <c r="H29" s="385" t="str">
        <f t="shared" si="0"/>
        <v>-</v>
      </c>
    </row>
    <row r="30" spans="1:8" x14ac:dyDescent="0.25">
      <c r="A30" s="534" t="s">
        <v>181</v>
      </c>
      <c r="B30" s="534" t="s">
        <v>2096</v>
      </c>
      <c r="C30" s="972">
        <f>SUMIF('NDC emission targets'!$C$4:$C$81,'Protocol NDCs (numerical)'!$A30,'NDC emission targets'!$AV$4:$AV$81)</f>
        <v>1.1922373452347463</v>
      </c>
      <c r="D30" s="534" t="s">
        <v>1904</v>
      </c>
      <c r="E30" s="534">
        <v>2010</v>
      </c>
      <c r="F30" s="385">
        <f>SUMIF('NDC emission targets'!$C$4:$C$81,'Protocol NDCs (numerical)'!$A30,'NDC emission targets'!$AH$4:$AH$81)</f>
        <v>2030</v>
      </c>
      <c r="G30" s="534" t="s">
        <v>2566</v>
      </c>
      <c r="H30" s="385" t="str">
        <f t="shared" si="0"/>
        <v>-</v>
      </c>
    </row>
    <row r="31" spans="1:8" x14ac:dyDescent="0.25">
      <c r="A31" s="534" t="s">
        <v>17</v>
      </c>
      <c r="B31" s="534" t="s">
        <v>2096</v>
      </c>
      <c r="C31" s="972">
        <f>SUMIF('NDC emission targets'!$C$4:$C$81,'Protocol NDCs (numerical)'!$A31,'NDC emission targets'!$AV$4:$AV$81)</f>
        <v>1.6246056782334384</v>
      </c>
      <c r="D31" s="534" t="s">
        <v>1904</v>
      </c>
      <c r="E31" s="534">
        <v>2010</v>
      </c>
      <c r="F31" s="385">
        <f>SUMIF('NDC emission targets'!$C$4:$C$81,'Protocol NDCs (numerical)'!$A31,'NDC emission targets'!$AH$4:$AH$81)</f>
        <v>2030</v>
      </c>
      <c r="G31" s="534" t="s">
        <v>2566</v>
      </c>
      <c r="H31" s="385" t="str">
        <f t="shared" si="0"/>
        <v>-</v>
      </c>
    </row>
    <row r="32" spans="1:8" x14ac:dyDescent="0.25">
      <c r="A32" s="534" t="s">
        <v>19</v>
      </c>
      <c r="B32" s="534" t="s">
        <v>2096</v>
      </c>
      <c r="C32" s="972">
        <f>SUMIF('NDC emission targets'!$C$4:$C$81,'Protocol NDCs (numerical)'!$A32,'NDC emission targets'!$AV$4:$AV$81)</f>
        <v>1.0261298372694909</v>
      </c>
      <c r="D32" s="534" t="s">
        <v>1904</v>
      </c>
      <c r="E32" s="534">
        <v>2010</v>
      </c>
      <c r="F32" s="385">
        <f>SUMIF('NDC emission targets'!$C$4:$C$81,'Protocol NDCs (numerical)'!$A32,'NDC emission targets'!$AH$4:$AH$81)</f>
        <v>2030</v>
      </c>
      <c r="G32" s="534" t="s">
        <v>2566</v>
      </c>
      <c r="H32" s="385" t="str">
        <f t="shared" si="0"/>
        <v>-</v>
      </c>
    </row>
    <row r="33" spans="1:8" x14ac:dyDescent="0.25">
      <c r="A33" s="534" t="s">
        <v>21</v>
      </c>
      <c r="B33" s="534" t="s">
        <v>2096</v>
      </c>
      <c r="C33" s="972">
        <f>SUMIF('NDC emission targets'!$C$4:$C$81,'Protocol NDCs (numerical)'!$A33,'NDC emission targets'!$AV$4:$AV$81)</f>
        <v>2.0698667698167101</v>
      </c>
      <c r="D33" s="534" t="s">
        <v>1904</v>
      </c>
      <c r="E33" s="534">
        <v>2010</v>
      </c>
      <c r="F33" s="385">
        <f>SUMIF('NDC emission targets'!$C$4:$C$81,'Protocol NDCs (numerical)'!$A33,'NDC emission targets'!$AH$4:$AH$81)</f>
        <v>2030</v>
      </c>
      <c r="G33" s="534" t="s">
        <v>2566</v>
      </c>
      <c r="H33" s="385" t="str">
        <f t="shared" si="0"/>
        <v>-</v>
      </c>
    </row>
    <row r="34" spans="1:8" x14ac:dyDescent="0.25">
      <c r="A34" s="534" t="s">
        <v>22</v>
      </c>
      <c r="B34" s="534" t="s">
        <v>2096</v>
      </c>
      <c r="C34" s="972">
        <f>SUMIF('NDC emission targets'!$C$4:$C$81,'Protocol NDCs (numerical)'!$A34,'NDC emission targets'!$AV$4:$AV$81)</f>
        <v>0.78531448383698332</v>
      </c>
      <c r="D34" s="534" t="s">
        <v>1904</v>
      </c>
      <c r="E34" s="534">
        <v>2010</v>
      </c>
      <c r="F34" s="385">
        <f>SUMIF('NDC emission targets'!$C$4:$C$81,'Protocol NDCs (numerical)'!$A34,'NDC emission targets'!$AH$4:$AH$81)</f>
        <v>2025</v>
      </c>
      <c r="G34" s="534" t="s">
        <v>2566</v>
      </c>
      <c r="H34" s="385" t="str">
        <f t="shared" si="0"/>
        <v>-</v>
      </c>
    </row>
    <row r="35" spans="1:8" x14ac:dyDescent="0.25">
      <c r="A35" s="534" t="s">
        <v>12</v>
      </c>
      <c r="B35" s="534" t="s">
        <v>2095</v>
      </c>
      <c r="C35" s="972">
        <f>SUMIF('NDC emission targets'!$C$4:$C$81,'Protocol NDCs (numerical)'!$A35,'NDC emission targets'!$AS$4:$AS$81)</f>
        <v>1.1245137339468609</v>
      </c>
      <c r="D35" s="534" t="s">
        <v>1904</v>
      </c>
      <c r="E35" s="534">
        <v>2005</v>
      </c>
      <c r="F35" s="385">
        <f>SUMIF('NDC emission targets'!$C$4:$C$81,'Protocol NDCs (numerical)'!$A35,'NDC emission targets'!$AH$4:$AH$81)</f>
        <v>2030</v>
      </c>
      <c r="G35" s="534" t="s">
        <v>2567</v>
      </c>
      <c r="H35" s="385" t="str">
        <f t="shared" si="0"/>
        <v>-</v>
      </c>
    </row>
    <row r="36" spans="1:8" x14ac:dyDescent="0.25">
      <c r="A36" s="534" t="s">
        <v>7</v>
      </c>
      <c r="B36" s="534" t="s">
        <v>2095</v>
      </c>
      <c r="C36" s="972">
        <f>SUMIF('NDC emission targets'!$C$4:$C$81,'Protocol NDCs (numerical)'!$A36,'NDC emission targets'!$AS$4:$AS$81)</f>
        <v>0.66971892427528734</v>
      </c>
      <c r="D36" s="534" t="s">
        <v>1904</v>
      </c>
      <c r="E36" s="534">
        <v>2005</v>
      </c>
      <c r="F36" s="385">
        <f>SUMIF('NDC emission targets'!$C$4:$C$81,'Protocol NDCs (numerical)'!$A36,'NDC emission targets'!$AH$4:$AH$81)</f>
        <v>2030</v>
      </c>
      <c r="G36" s="534" t="s">
        <v>2567</v>
      </c>
      <c r="H36" s="385" t="str">
        <f t="shared" si="0"/>
        <v>-</v>
      </c>
    </row>
    <row r="37" spans="1:8" x14ac:dyDescent="0.25">
      <c r="A37" s="534" t="s">
        <v>0</v>
      </c>
      <c r="B37" s="534" t="s">
        <v>2095</v>
      </c>
      <c r="C37" s="972">
        <f>SUMIF('NDC emission targets'!$C$4:$C$81,'Protocol NDCs (numerical)'!$A37,'NDC emission targets'!$AS$4:$AS$81)</f>
        <v>0.61879221220843428</v>
      </c>
      <c r="D37" s="534" t="s">
        <v>1904</v>
      </c>
      <c r="E37" s="534">
        <v>2005</v>
      </c>
      <c r="F37" s="385">
        <f>SUMIF('NDC emission targets'!$C$4:$C$81,'Protocol NDCs (numerical)'!$A37,'NDC emission targets'!$AH$4:$AH$81)</f>
        <v>2025</v>
      </c>
      <c r="G37" s="534" t="s">
        <v>2567</v>
      </c>
      <c r="H37" s="385" t="str">
        <f t="shared" si="0"/>
        <v>-</v>
      </c>
    </row>
    <row r="38" spans="1:8" x14ac:dyDescent="0.25">
      <c r="A38" s="703" t="s">
        <v>0</v>
      </c>
      <c r="B38" s="703" t="s">
        <v>2095</v>
      </c>
      <c r="C38" s="972">
        <v>0.56999999999999995</v>
      </c>
      <c r="D38" s="703" t="s">
        <v>1904</v>
      </c>
      <c r="E38" s="703">
        <v>2005</v>
      </c>
      <c r="F38" s="385">
        <v>2030</v>
      </c>
      <c r="G38" s="703" t="s">
        <v>2568</v>
      </c>
      <c r="H38" s="385" t="s">
        <v>2097</v>
      </c>
    </row>
    <row r="39" spans="1:8" x14ac:dyDescent="0.25">
      <c r="A39" s="534" t="s">
        <v>18</v>
      </c>
      <c r="B39" s="534" t="s">
        <v>2095</v>
      </c>
      <c r="C39" s="972">
        <f>SUMIF('NDC emission targets'!$C$4:$C$81,'Protocol NDCs (numerical)'!$A39,'NDC emission targets'!$AS$4:$AS$81)</f>
        <v>0.50842196141539997</v>
      </c>
      <c r="D39" s="534" t="s">
        <v>1904</v>
      </c>
      <c r="E39" s="534">
        <v>2005</v>
      </c>
      <c r="F39" s="385">
        <f>SUMIF('NDC emission targets'!$C$4:$C$81,'Protocol NDCs (numerical)'!$A39,'NDC emission targets'!$AH$4:$AH$81)</f>
        <v>2030</v>
      </c>
      <c r="G39" s="534" t="s">
        <v>2567</v>
      </c>
      <c r="H39" s="385" t="str">
        <f t="shared" ref="H39:H69" si="1">IF(C39=0,"Not provided, check NDC sheets","-")</f>
        <v>-</v>
      </c>
    </row>
    <row r="40" spans="1:8" x14ac:dyDescent="0.25">
      <c r="A40" s="534" t="s">
        <v>11</v>
      </c>
      <c r="B40" s="534" t="s">
        <v>2095</v>
      </c>
      <c r="C40" s="972">
        <f>SUMIF('NDC emission targets'!$C$4:$C$81,'Protocol NDCs (numerical)'!$A40,'NDC emission targets'!$AS$4:$AS$81)</f>
        <v>0</v>
      </c>
      <c r="D40" s="534" t="s">
        <v>1904</v>
      </c>
      <c r="E40" s="534">
        <v>2005</v>
      </c>
      <c r="F40" s="385">
        <f>SUMIF('NDC emission targets'!$C$4:$C$81,'Protocol NDCs (numerical)'!$A40,'NDC emission targets'!$AH$4:$AH$81)</f>
        <v>2030</v>
      </c>
      <c r="G40" s="534" t="s">
        <v>2567</v>
      </c>
      <c r="H40" s="385" t="str">
        <f t="shared" si="1"/>
        <v>Not provided, check NDC sheets</v>
      </c>
    </row>
    <row r="41" spans="1:8" x14ac:dyDescent="0.25">
      <c r="A41" s="534" t="s">
        <v>13</v>
      </c>
      <c r="B41" s="534" t="s">
        <v>2095</v>
      </c>
      <c r="C41" s="972">
        <f>SUMIF('NDC emission targets'!$C$4:$C$81,'Protocol NDCs (numerical)'!$A41,'NDC emission targets'!$AS$4:$AS$81)</f>
        <v>0.61797720205075168</v>
      </c>
      <c r="D41" s="534" t="s">
        <v>1904</v>
      </c>
      <c r="E41" s="534">
        <v>2005</v>
      </c>
      <c r="F41" s="385">
        <f>SUMIF('NDC emission targets'!$C$4:$C$81,'Protocol NDCs (numerical)'!$A41,'NDC emission targets'!$AH$4:$AH$81)</f>
        <v>2030</v>
      </c>
      <c r="G41" s="534" t="s">
        <v>2567</v>
      </c>
      <c r="H41" s="385" t="str">
        <f t="shared" si="1"/>
        <v>-</v>
      </c>
    </row>
    <row r="42" spans="1:8" x14ac:dyDescent="0.25">
      <c r="A42" s="534" t="s">
        <v>4</v>
      </c>
      <c r="B42" s="534" t="s">
        <v>2095</v>
      </c>
      <c r="C42" s="972">
        <f>SUMIF('NDC emission targets'!$C$4:$C$81,'Protocol NDCs (numerical)'!$A42,'NDC emission targets'!$AS$4:$AS$81)</f>
        <v>0</v>
      </c>
      <c r="D42" s="534" t="s">
        <v>1904</v>
      </c>
      <c r="E42" s="534">
        <v>2005</v>
      </c>
      <c r="F42" s="385">
        <f>SUMIF('NDC emission targets'!$C$4:$C$81,'Protocol NDCs (numerical)'!$A42,'NDC emission targets'!$AH$4:$AH$81)</f>
        <v>2030</v>
      </c>
      <c r="G42" s="534" t="s">
        <v>2567</v>
      </c>
      <c r="H42" s="385" t="str">
        <f t="shared" si="1"/>
        <v>Not provided, check NDC sheets</v>
      </c>
    </row>
    <row r="43" spans="1:8" x14ac:dyDescent="0.25">
      <c r="A43" s="534" t="s">
        <v>6</v>
      </c>
      <c r="B43" s="534" t="s">
        <v>2095</v>
      </c>
      <c r="C43" s="972">
        <f>SUMIF('NDC emission targets'!$C$4:$C$81,'Protocol NDCs (numerical)'!$A43,'NDC emission targets'!$AS$4:$AS$81)</f>
        <v>0.92836301231456475</v>
      </c>
      <c r="D43" s="534" t="s">
        <v>1904</v>
      </c>
      <c r="E43" s="534">
        <v>2005</v>
      </c>
      <c r="F43" s="385">
        <f>SUMIF('NDC emission targets'!$C$4:$C$81,'Protocol NDCs (numerical)'!$A43,'NDC emission targets'!$AH$4:$AH$81)</f>
        <v>2030</v>
      </c>
      <c r="G43" s="534" t="s">
        <v>2567</v>
      </c>
      <c r="H43" s="385" t="str">
        <f t="shared" si="1"/>
        <v>-</v>
      </c>
    </row>
    <row r="44" spans="1:8" x14ac:dyDescent="0.25">
      <c r="A44" s="534" t="s">
        <v>14</v>
      </c>
      <c r="B44" s="534" t="s">
        <v>2095</v>
      </c>
      <c r="C44" s="972">
        <f>SUMIF('NDC emission targets'!$C$4:$C$81,'Protocol NDCs (numerical)'!$A44,'NDC emission targets'!$AS$4:$AS$81)</f>
        <v>0.75472724518498102</v>
      </c>
      <c r="D44" s="534" t="s">
        <v>1904</v>
      </c>
      <c r="E44" s="534">
        <v>2005</v>
      </c>
      <c r="F44" s="385">
        <f>SUMIF('NDC emission targets'!$C$4:$C$81,'Protocol NDCs (numerical)'!$A44,'NDC emission targets'!$AH$4:$AH$81)</f>
        <v>2030</v>
      </c>
      <c r="G44" s="534" t="s">
        <v>2567</v>
      </c>
      <c r="H44" s="385" t="str">
        <f t="shared" si="1"/>
        <v>-</v>
      </c>
    </row>
    <row r="45" spans="1:8" x14ac:dyDescent="0.25">
      <c r="A45" s="534" t="s">
        <v>247</v>
      </c>
      <c r="B45" s="534" t="s">
        <v>2095</v>
      </c>
      <c r="C45" s="972">
        <f>SUMIF('NDC emission targets'!$C$4:$C$81,'Protocol NDCs (numerical)'!$A45,'NDC emission targets'!$AS$4:$AS$81)</f>
        <v>0</v>
      </c>
      <c r="D45" s="534" t="s">
        <v>1904</v>
      </c>
      <c r="E45" s="534">
        <v>2005</v>
      </c>
      <c r="F45" s="385">
        <f>SUMIF('NDC emission targets'!$C$4:$C$81,'Protocol NDCs (numerical)'!$A45,'NDC emission targets'!$AH$4:$AH$81)</f>
        <v>2030</v>
      </c>
      <c r="G45" s="534" t="s">
        <v>2567</v>
      </c>
      <c r="H45" s="385" t="str">
        <f t="shared" si="1"/>
        <v>Not provided, check NDC sheets</v>
      </c>
    </row>
    <row r="46" spans="1:8" x14ac:dyDescent="0.25">
      <c r="A46" s="534" t="s">
        <v>15</v>
      </c>
      <c r="B46" s="534" t="s">
        <v>2095</v>
      </c>
      <c r="C46" s="972">
        <f>SUMIF('NDC emission targets'!$C$4:$C$81,'Protocol NDCs (numerical)'!$A46,'NDC emission targets'!$AS$4:$AS$81)</f>
        <v>0.90001445295562954</v>
      </c>
      <c r="D46" s="534" t="s">
        <v>1904</v>
      </c>
      <c r="E46" s="534">
        <v>2005</v>
      </c>
      <c r="F46" s="385">
        <f>SUMIF('NDC emission targets'!$C$4:$C$81,'Protocol NDCs (numerical)'!$A46,'NDC emission targets'!$AH$4:$AH$81)</f>
        <v>2030</v>
      </c>
      <c r="G46" s="534" t="s">
        <v>2567</v>
      </c>
      <c r="H46" s="385" t="str">
        <f t="shared" si="1"/>
        <v>-</v>
      </c>
    </row>
    <row r="47" spans="1:8" x14ac:dyDescent="0.25">
      <c r="A47" s="534" t="s">
        <v>181</v>
      </c>
      <c r="B47" s="534" t="s">
        <v>2095</v>
      </c>
      <c r="C47" s="972">
        <f>SUMIF('NDC emission targets'!$C$4:$C$81,'Protocol NDCs (numerical)'!$A47,'NDC emission targets'!$AS$4:$AS$81)</f>
        <v>1.020007059708157</v>
      </c>
      <c r="D47" s="534" t="s">
        <v>1904</v>
      </c>
      <c r="E47" s="534">
        <v>2005</v>
      </c>
      <c r="F47" s="385">
        <f>SUMIF('NDC emission targets'!$C$4:$C$81,'Protocol NDCs (numerical)'!$A47,'NDC emission targets'!$AH$4:$AH$81)</f>
        <v>2030</v>
      </c>
      <c r="G47" s="534" t="s">
        <v>2567</v>
      </c>
      <c r="H47" s="385" t="str">
        <f t="shared" si="1"/>
        <v>-</v>
      </c>
    </row>
    <row r="48" spans="1:8" x14ac:dyDescent="0.25">
      <c r="A48" s="534" t="s">
        <v>17</v>
      </c>
      <c r="B48" s="534" t="s">
        <v>2095</v>
      </c>
      <c r="C48" s="972">
        <f>SUMIF('NDC emission targets'!$C$4:$C$81,'Protocol NDCs (numerical)'!$A48,'NDC emission targets'!$AS$4:$AS$81)</f>
        <v>0</v>
      </c>
      <c r="D48" s="534" t="s">
        <v>1904</v>
      </c>
      <c r="E48" s="534">
        <v>2005</v>
      </c>
      <c r="F48" s="385">
        <f>SUMIF('NDC emission targets'!$C$4:$C$81,'Protocol NDCs (numerical)'!$A48,'NDC emission targets'!$AH$4:$AH$81)</f>
        <v>2030</v>
      </c>
      <c r="G48" s="534" t="s">
        <v>2567</v>
      </c>
      <c r="H48" s="385" t="str">
        <f t="shared" si="1"/>
        <v>Not provided, check NDC sheets</v>
      </c>
    </row>
    <row r="49" spans="1:8" x14ac:dyDescent="0.25">
      <c r="A49" s="534" t="s">
        <v>19</v>
      </c>
      <c r="B49" s="534" t="s">
        <v>2095</v>
      </c>
      <c r="C49" s="972">
        <f>SUMIF('NDC emission targets'!$C$4:$C$81,'Protocol NDCs (numerical)'!$A49,'NDC emission targets'!$AS$4:$AS$81)</f>
        <v>1.0549686025884202</v>
      </c>
      <c r="D49" s="534" t="s">
        <v>1904</v>
      </c>
      <c r="E49" s="534">
        <v>2005</v>
      </c>
      <c r="F49" s="385">
        <f>SUMIF('NDC emission targets'!$C$4:$C$81,'Protocol NDCs (numerical)'!$A49,'NDC emission targets'!$AH$4:$AH$81)</f>
        <v>2030</v>
      </c>
      <c r="G49" s="534" t="s">
        <v>2567</v>
      </c>
      <c r="H49" s="385" t="str">
        <f t="shared" si="1"/>
        <v>-</v>
      </c>
    </row>
    <row r="50" spans="1:8" x14ac:dyDescent="0.25">
      <c r="A50" s="534" t="s">
        <v>21</v>
      </c>
      <c r="B50" s="534" t="s">
        <v>2095</v>
      </c>
      <c r="C50" s="972">
        <f>SUMIF('NDC emission targets'!$C$4:$C$81,'Protocol NDCs (numerical)'!$A50,'NDC emission targets'!$AS$4:$AS$81)</f>
        <v>2.9449987431240299</v>
      </c>
      <c r="D50" s="534" t="s">
        <v>1904</v>
      </c>
      <c r="E50" s="534">
        <v>2005</v>
      </c>
      <c r="F50" s="385">
        <f>SUMIF('NDC emission targets'!$C$4:$C$81,'Protocol NDCs (numerical)'!$A50,'NDC emission targets'!$AH$4:$AH$81)</f>
        <v>2030</v>
      </c>
      <c r="G50" s="534" t="s">
        <v>2567</v>
      </c>
      <c r="H50" s="385" t="str">
        <f t="shared" si="1"/>
        <v>-</v>
      </c>
    </row>
    <row r="51" spans="1:8" x14ac:dyDescent="0.25">
      <c r="A51" s="534" t="s">
        <v>22</v>
      </c>
      <c r="B51" s="534" t="s">
        <v>2095</v>
      </c>
      <c r="C51" s="972">
        <f>SUMIF('NDC emission targets'!$C$4:$C$81,'Protocol NDCs (numerical)'!$A51,'NDC emission targets'!$AS$4:$AS$81)</f>
        <v>0.64505554651818342</v>
      </c>
      <c r="D51" s="534" t="s">
        <v>1904</v>
      </c>
      <c r="E51" s="534">
        <v>2005</v>
      </c>
      <c r="F51" s="385">
        <f>SUMIF('NDC emission targets'!$C$4:$C$81,'Protocol NDCs (numerical)'!$A51,'NDC emission targets'!$AH$4:$AH$81)</f>
        <v>2025</v>
      </c>
      <c r="G51" s="534" t="s">
        <v>2567</v>
      </c>
      <c r="H51" s="385" t="str">
        <f t="shared" si="1"/>
        <v>-</v>
      </c>
    </row>
    <row r="52" spans="1:8" x14ac:dyDescent="0.25">
      <c r="A52" s="534" t="s">
        <v>12</v>
      </c>
      <c r="B52" s="534" t="s">
        <v>2096</v>
      </c>
      <c r="C52" s="972">
        <f>SUMIF('NDC emission targets'!$C$4:$C$81,'Protocol NDCs (numerical)'!$A52,'NDC emission targets'!$AT$4:$AT$81)</f>
        <v>1.0742410443230115</v>
      </c>
      <c r="D52" s="534" t="s">
        <v>1904</v>
      </c>
      <c r="E52" s="534">
        <v>2005</v>
      </c>
      <c r="F52" s="385">
        <f>SUMIF('NDC emission targets'!$C$4:$C$81,'Protocol NDCs (numerical)'!$A52,'NDC emission targets'!$AH$4:$AH$81)</f>
        <v>2030</v>
      </c>
      <c r="G52" s="534" t="s">
        <v>2569</v>
      </c>
      <c r="H52" s="385" t="str">
        <f t="shared" si="1"/>
        <v>-</v>
      </c>
    </row>
    <row r="53" spans="1:8" x14ac:dyDescent="0.25">
      <c r="A53" s="534" t="s">
        <v>7</v>
      </c>
      <c r="B53" s="534" t="s">
        <v>2096</v>
      </c>
      <c r="C53" s="972">
        <f>SUMIF('NDC emission targets'!$C$4:$C$81,'Protocol NDCs (numerical)'!$A53,'NDC emission targets'!$AT$4:$AT$81)</f>
        <v>0.66197404012111738</v>
      </c>
      <c r="D53" s="534" t="s">
        <v>1904</v>
      </c>
      <c r="E53" s="534">
        <v>2005</v>
      </c>
      <c r="F53" s="385">
        <f>SUMIF('NDC emission targets'!$C$4:$C$81,'Protocol NDCs (numerical)'!$A53,'NDC emission targets'!$AH$4:$AH$81)</f>
        <v>2030</v>
      </c>
      <c r="G53" s="534" t="s">
        <v>2569</v>
      </c>
      <c r="H53" s="385" t="str">
        <f t="shared" si="1"/>
        <v>-</v>
      </c>
    </row>
    <row r="54" spans="1:8" x14ac:dyDescent="0.25">
      <c r="A54" s="534" t="s">
        <v>0</v>
      </c>
      <c r="B54" s="534" t="s">
        <v>2096</v>
      </c>
      <c r="C54" s="972">
        <f>SUMIF('NDC emission targets'!$C$4:$C$81,'Protocol NDCs (numerical)'!$A54,'NDC emission targets'!$AT$4:$AT$81)</f>
        <v>1.2871287128712865</v>
      </c>
      <c r="D54" s="534" t="s">
        <v>1904</v>
      </c>
      <c r="E54" s="534">
        <v>2005</v>
      </c>
      <c r="F54" s="385">
        <f>SUMIF('NDC emission targets'!$C$4:$C$81,'Protocol NDCs (numerical)'!$A54,'NDC emission targets'!$AH$4:$AH$81)</f>
        <v>2025</v>
      </c>
      <c r="G54" s="534" t="s">
        <v>2569</v>
      </c>
      <c r="H54" s="385" t="str">
        <f t="shared" si="1"/>
        <v>-</v>
      </c>
    </row>
    <row r="55" spans="1:8" x14ac:dyDescent="0.25">
      <c r="A55" s="534" t="s">
        <v>18</v>
      </c>
      <c r="B55" s="534" t="s">
        <v>2096</v>
      </c>
      <c r="C55" s="972">
        <f>SUMIF('NDC emission targets'!$C$4:$C$81,'Protocol NDCs (numerical)'!$A55,'NDC emission targets'!$AT$4:$AT$81)</f>
        <v>0.71066536505867017</v>
      </c>
      <c r="D55" s="534" t="s">
        <v>1904</v>
      </c>
      <c r="E55" s="534">
        <v>2005</v>
      </c>
      <c r="F55" s="385">
        <f>SUMIF('NDC emission targets'!$C$4:$C$81,'Protocol NDCs (numerical)'!$A55,'NDC emission targets'!$AH$4:$AH$81)</f>
        <v>2030</v>
      </c>
      <c r="G55" s="534" t="s">
        <v>2569</v>
      </c>
      <c r="H55" s="385" t="str">
        <f t="shared" si="1"/>
        <v>-</v>
      </c>
    </row>
    <row r="56" spans="1:8" x14ac:dyDescent="0.25">
      <c r="A56" s="534" t="s">
        <v>11</v>
      </c>
      <c r="B56" s="534" t="s">
        <v>2096</v>
      </c>
      <c r="C56" s="972">
        <f>SUMIF('NDC emission targets'!$C$4:$C$81,'Protocol NDCs (numerical)'!$A56,'NDC emission targets'!$AT$4:$AT$81)</f>
        <v>0</v>
      </c>
      <c r="D56" s="534" t="s">
        <v>1904</v>
      </c>
      <c r="E56" s="534">
        <v>2005</v>
      </c>
      <c r="F56" s="385">
        <f>SUMIF('NDC emission targets'!$C$4:$C$81,'Protocol NDCs (numerical)'!$A56,'NDC emission targets'!$AH$4:$AH$81)</f>
        <v>2030</v>
      </c>
      <c r="G56" s="534" t="s">
        <v>2569</v>
      </c>
      <c r="H56" s="385" t="str">
        <f t="shared" si="1"/>
        <v>Not provided, check NDC sheets</v>
      </c>
    </row>
    <row r="57" spans="1:8" x14ac:dyDescent="0.25">
      <c r="A57" s="534" t="s">
        <v>13</v>
      </c>
      <c r="B57" s="534" t="s">
        <v>2096</v>
      </c>
      <c r="C57" s="972">
        <f>SUMIF('NDC emission targets'!$C$4:$C$81,'Protocol NDCs (numerical)'!$A57,'NDC emission targets'!$AT$4:$AT$81)</f>
        <v>0.63304126392378957</v>
      </c>
      <c r="D57" s="534" t="s">
        <v>1904</v>
      </c>
      <c r="E57" s="534">
        <v>2005</v>
      </c>
      <c r="F57" s="385">
        <f>SUMIF('NDC emission targets'!$C$4:$C$81,'Protocol NDCs (numerical)'!$A57,'NDC emission targets'!$AH$4:$AH$81)</f>
        <v>2030</v>
      </c>
      <c r="G57" s="534" t="s">
        <v>2569</v>
      </c>
      <c r="H57" s="385" t="str">
        <f t="shared" si="1"/>
        <v>-</v>
      </c>
    </row>
    <row r="58" spans="1:8" x14ac:dyDescent="0.25">
      <c r="A58" s="534" t="s">
        <v>4</v>
      </c>
      <c r="B58" s="534" t="s">
        <v>2096</v>
      </c>
      <c r="C58" s="972">
        <f>SUMIF('NDC emission targets'!$C$4:$C$81,'Protocol NDCs (numerical)'!$A58,'NDC emission targets'!$AT$4:$AT$81)</f>
        <v>0</v>
      </c>
      <c r="D58" s="534" t="s">
        <v>1904</v>
      </c>
      <c r="E58" s="534">
        <v>2005</v>
      </c>
      <c r="F58" s="385">
        <f>SUMIF('NDC emission targets'!$C$4:$C$81,'Protocol NDCs (numerical)'!$A58,'NDC emission targets'!$AH$4:$AH$81)</f>
        <v>2030</v>
      </c>
      <c r="G58" s="534" t="s">
        <v>2569</v>
      </c>
      <c r="H58" s="385" t="str">
        <f t="shared" si="1"/>
        <v>Not provided, check NDC sheets</v>
      </c>
    </row>
    <row r="59" spans="1:8" x14ac:dyDescent="0.25">
      <c r="A59" s="534" t="s">
        <v>6</v>
      </c>
      <c r="B59" s="534" t="s">
        <v>2096</v>
      </c>
      <c r="C59" s="972">
        <f>SUMIF('NDC emission targets'!$C$4:$C$81,'Protocol NDCs (numerical)'!$A59,'NDC emission targets'!$AT$4:$AT$81)</f>
        <v>1.727426693150685</v>
      </c>
      <c r="D59" s="534" t="s">
        <v>1904</v>
      </c>
      <c r="E59" s="534">
        <v>2005</v>
      </c>
      <c r="F59" s="385">
        <f>SUMIF('NDC emission targets'!$C$4:$C$81,'Protocol NDCs (numerical)'!$A59,'NDC emission targets'!$AH$4:$AH$81)</f>
        <v>2030</v>
      </c>
      <c r="G59" s="534" t="s">
        <v>2569</v>
      </c>
      <c r="H59" s="385" t="str">
        <f t="shared" si="1"/>
        <v>-</v>
      </c>
    </row>
    <row r="60" spans="1:8" x14ac:dyDescent="0.25">
      <c r="A60" s="534" t="s">
        <v>14</v>
      </c>
      <c r="B60" s="534" t="s">
        <v>2096</v>
      </c>
      <c r="C60" s="972">
        <f>SUMIF('NDC emission targets'!$C$4:$C$81,'Protocol NDCs (numerical)'!$A60,'NDC emission targets'!$AT$4:$AT$81)</f>
        <v>0.78870150661198724</v>
      </c>
      <c r="D60" s="534" t="s">
        <v>1904</v>
      </c>
      <c r="E60" s="534">
        <v>2005</v>
      </c>
      <c r="F60" s="385">
        <f>SUMIF('NDC emission targets'!$C$4:$C$81,'Protocol NDCs (numerical)'!$A60,'NDC emission targets'!$AH$4:$AH$81)</f>
        <v>2030</v>
      </c>
      <c r="G60" s="534" t="s">
        <v>2569</v>
      </c>
      <c r="H60" s="385" t="str">
        <f t="shared" si="1"/>
        <v>-</v>
      </c>
    </row>
    <row r="61" spans="1:8" x14ac:dyDescent="0.25">
      <c r="A61" s="534" t="s">
        <v>247</v>
      </c>
      <c r="B61" s="534" t="s">
        <v>2096</v>
      </c>
      <c r="C61" s="972">
        <f>SUMIF('NDC emission targets'!$C$4:$C$81,'Protocol NDCs (numerical)'!$A61,'NDC emission targets'!$AT$4:$AT$81)</f>
        <v>0.92324311286460037</v>
      </c>
      <c r="D61" s="534" t="s">
        <v>1904</v>
      </c>
      <c r="E61" s="534">
        <v>2005</v>
      </c>
      <c r="F61" s="385">
        <f>SUMIF('NDC emission targets'!$C$4:$C$81,'Protocol NDCs (numerical)'!$A61,'NDC emission targets'!$AH$4:$AH$81)</f>
        <v>2030</v>
      </c>
      <c r="G61" s="534" t="s">
        <v>2569</v>
      </c>
      <c r="H61" s="385" t="str">
        <f t="shared" si="1"/>
        <v>-</v>
      </c>
    </row>
    <row r="62" spans="1:8" x14ac:dyDescent="0.25">
      <c r="A62" s="534" t="s">
        <v>15</v>
      </c>
      <c r="B62" s="534" t="s">
        <v>2096</v>
      </c>
      <c r="C62" s="972">
        <f>SUMIF('NDC emission targets'!$C$4:$C$81,'Protocol NDCs (numerical)'!$A62,'NDC emission targets'!$AT$4:$AT$81)</f>
        <v>0.92350585792673889</v>
      </c>
      <c r="D62" s="534" t="s">
        <v>1904</v>
      </c>
      <c r="E62" s="534">
        <v>2005</v>
      </c>
      <c r="F62" s="385">
        <f>SUMIF('NDC emission targets'!$C$4:$C$81,'Protocol NDCs (numerical)'!$A62,'NDC emission targets'!$AH$4:$AH$81)</f>
        <v>2030</v>
      </c>
      <c r="G62" s="534" t="s">
        <v>2569</v>
      </c>
      <c r="H62" s="385" t="str">
        <f t="shared" si="1"/>
        <v>-</v>
      </c>
    </row>
    <row r="63" spans="1:8" x14ac:dyDescent="0.25">
      <c r="A63" s="534" t="s">
        <v>181</v>
      </c>
      <c r="B63" s="534" t="s">
        <v>2096</v>
      </c>
      <c r="C63" s="972">
        <f>SUMIF('NDC emission targets'!$C$4:$C$81,'Protocol NDCs (numerical)'!$A63,'NDC emission targets'!$AT$4:$AT$81)</f>
        <v>1.2346423613590618</v>
      </c>
      <c r="D63" s="534" t="s">
        <v>1904</v>
      </c>
      <c r="E63" s="534">
        <v>2005</v>
      </c>
      <c r="F63" s="385">
        <f>SUMIF('NDC emission targets'!$C$4:$C$81,'Protocol NDCs (numerical)'!$A63,'NDC emission targets'!$AH$4:$AH$81)</f>
        <v>2030</v>
      </c>
      <c r="G63" s="534" t="s">
        <v>2569</v>
      </c>
      <c r="H63" s="385" t="str">
        <f t="shared" si="1"/>
        <v>-</v>
      </c>
    </row>
    <row r="64" spans="1:8" x14ac:dyDescent="0.25">
      <c r="A64" s="534" t="s">
        <v>17</v>
      </c>
      <c r="B64" s="534" t="s">
        <v>2096</v>
      </c>
      <c r="C64" s="972">
        <f>SUMIF('NDC emission targets'!$C$4:$C$81,'Protocol NDCs (numerical)'!$A64,'NDC emission targets'!$AT$4:$AT$81)</f>
        <v>2.1149897330595482</v>
      </c>
      <c r="D64" s="534" t="s">
        <v>1904</v>
      </c>
      <c r="E64" s="534">
        <v>2005</v>
      </c>
      <c r="F64" s="385">
        <f>SUMIF('NDC emission targets'!$C$4:$C$81,'Protocol NDCs (numerical)'!$A64,'NDC emission targets'!$AH$4:$AH$81)</f>
        <v>2030</v>
      </c>
      <c r="G64" s="534" t="s">
        <v>2569</v>
      </c>
      <c r="H64" s="385" t="str">
        <f t="shared" si="1"/>
        <v>-</v>
      </c>
    </row>
    <row r="65" spans="1:8" x14ac:dyDescent="0.25">
      <c r="A65" s="534" t="s">
        <v>19</v>
      </c>
      <c r="B65" s="534" t="s">
        <v>2096</v>
      </c>
      <c r="C65" s="972">
        <f>SUMIF('NDC emission targets'!$C$4:$C$81,'Protocol NDCs (numerical)'!$A65,'NDC emission targets'!$AT$4:$AT$81)</f>
        <v>1.1120551100298666</v>
      </c>
      <c r="D65" s="534" t="s">
        <v>1904</v>
      </c>
      <c r="E65" s="534">
        <v>2005</v>
      </c>
      <c r="F65" s="385">
        <f>SUMIF('NDC emission targets'!$C$4:$C$81,'Protocol NDCs (numerical)'!$A65,'NDC emission targets'!$AH$4:$AH$81)</f>
        <v>2030</v>
      </c>
      <c r="G65" s="534" t="s">
        <v>2569</v>
      </c>
      <c r="H65" s="385" t="str">
        <f t="shared" si="1"/>
        <v>-</v>
      </c>
    </row>
    <row r="66" spans="1:8" x14ac:dyDescent="0.25">
      <c r="A66" s="534" t="s">
        <v>21</v>
      </c>
      <c r="B66" s="534" t="s">
        <v>2096</v>
      </c>
      <c r="C66" s="972">
        <f>SUMIF('NDC emission targets'!$C$4:$C$81,'Protocol NDCs (numerical)'!$A66,'NDC emission targets'!$AT$4:$AT$81)</f>
        <v>2.5197074181396699</v>
      </c>
      <c r="D66" s="534" t="s">
        <v>1904</v>
      </c>
      <c r="E66" s="534">
        <v>2005</v>
      </c>
      <c r="F66" s="385">
        <f>SUMIF('NDC emission targets'!$C$4:$C$81,'Protocol NDCs (numerical)'!$A66,'NDC emission targets'!$AH$4:$AH$81)</f>
        <v>2030</v>
      </c>
      <c r="G66" s="534" t="s">
        <v>2569</v>
      </c>
      <c r="H66" s="385" t="str">
        <f t="shared" si="1"/>
        <v>-</v>
      </c>
    </row>
    <row r="67" spans="1:8" x14ac:dyDescent="0.25">
      <c r="A67" s="534" t="s">
        <v>22</v>
      </c>
      <c r="B67" s="534" t="s">
        <v>2096</v>
      </c>
      <c r="C67" s="972">
        <f>SUMIF('NDC emission targets'!$C$4:$C$81,'Protocol NDCs (numerical)'!$A67,'NDC emission targets'!$AT$4:$AT$81)</f>
        <v>0.74498661843938574</v>
      </c>
      <c r="D67" s="534" t="s">
        <v>1904</v>
      </c>
      <c r="E67" s="534">
        <v>2005</v>
      </c>
      <c r="F67" s="385">
        <f>SUMIF('NDC emission targets'!$C$4:$C$81,'Protocol NDCs (numerical)'!$A67,'NDC emission targets'!$AH$4:$AH$81)</f>
        <v>2025</v>
      </c>
      <c r="G67" s="534" t="s">
        <v>2569</v>
      </c>
      <c r="H67" s="385" t="str">
        <f t="shared" si="1"/>
        <v>-</v>
      </c>
    </row>
    <row r="68" spans="1:8" x14ac:dyDescent="0.25">
      <c r="A68" s="534" t="s">
        <v>12</v>
      </c>
      <c r="B68" s="534" t="s">
        <v>2095</v>
      </c>
      <c r="C68" s="973">
        <f>SUMIF('NDC emission targets'!$C$4:$C$81,'Protocol NDCs (numerical)'!$A68,'NDC emission targets'!$AW$4:$AW$81)</f>
        <v>468.99999999999994</v>
      </c>
      <c r="D68" s="534" t="s">
        <v>2098</v>
      </c>
      <c r="F68" s="385">
        <f>SUMIF('NDC emission targets'!$C$4:$C$81,'Protocol NDCs (numerical)'!$A68,'NDC emission targets'!$AH$4:$AH$81)</f>
        <v>2030</v>
      </c>
      <c r="G68" s="534" t="s">
        <v>2570</v>
      </c>
      <c r="H68" s="385" t="str">
        <f t="shared" si="1"/>
        <v>-</v>
      </c>
    </row>
    <row r="69" spans="1:8" x14ac:dyDescent="0.25">
      <c r="A69" s="534" t="s">
        <v>7</v>
      </c>
      <c r="B69" s="534" t="s">
        <v>2095</v>
      </c>
      <c r="C69" s="973">
        <f>SUMIF('NDC emission targets'!$C$4:$C$81,'Protocol NDCs (numerical)'!$A69,'NDC emission targets'!$AW$4:$AW$81)</f>
        <v>400.35036680000002</v>
      </c>
      <c r="D69" s="534" t="s">
        <v>2098</v>
      </c>
      <c r="F69" s="385">
        <f>SUMIF('NDC emission targets'!$C$4:$C$81,'Protocol NDCs (numerical)'!$A69,'NDC emission targets'!$AH$4:$AH$81)</f>
        <v>2030</v>
      </c>
      <c r="G69" s="534" t="s">
        <v>2570</v>
      </c>
      <c r="H69" s="385" t="str">
        <f t="shared" si="1"/>
        <v>-</v>
      </c>
    </row>
    <row r="70" spans="1:8" x14ac:dyDescent="0.25">
      <c r="A70" s="534" t="s">
        <v>0</v>
      </c>
      <c r="B70" s="534" t="s">
        <v>2095</v>
      </c>
      <c r="C70" s="973">
        <f>SUMIF('NDC emission targets'!$C$4:$C$81,'Protocol NDCs (numerical)'!$A70,'NDC emission targets'!$AW$4:$AW$81)</f>
        <v>1300</v>
      </c>
      <c r="D70" s="534" t="s">
        <v>2098</v>
      </c>
      <c r="F70" s="385">
        <f>SUMIF('NDC emission targets'!$C$4:$C$81,'Protocol NDCs (numerical)'!$A70,'NDC emission targets'!$AH$4:$AH$81)</f>
        <v>2025</v>
      </c>
      <c r="G70" s="534" t="s">
        <v>2570</v>
      </c>
      <c r="H70" s="385" t="s">
        <v>2572</v>
      </c>
    </row>
    <row r="71" spans="1:8" x14ac:dyDescent="0.25">
      <c r="A71" s="534" t="s">
        <v>0</v>
      </c>
      <c r="B71" s="534" t="s">
        <v>2095</v>
      </c>
      <c r="C71" s="974">
        <v>1200</v>
      </c>
      <c r="D71" s="534" t="s">
        <v>2098</v>
      </c>
      <c r="F71" s="385">
        <v>2030</v>
      </c>
      <c r="G71" s="534" t="s">
        <v>2570</v>
      </c>
      <c r="H71" s="385" t="s">
        <v>2572</v>
      </c>
    </row>
    <row r="72" spans="1:8" x14ac:dyDescent="0.25">
      <c r="A72" s="534" t="s">
        <v>18</v>
      </c>
      <c r="B72" s="534" t="s">
        <v>2095</v>
      </c>
      <c r="C72" s="973">
        <f>SUMIF('NDC emission targets'!$C$4:$C$81,'Protocol NDCs (numerical)'!$A72,'NDC emission targets'!$AW$4:$AW$81)</f>
        <v>517.08033499999999</v>
      </c>
      <c r="D72" s="534" t="s">
        <v>2098</v>
      </c>
      <c r="F72" s="385">
        <f>SUMIF('NDC emission targets'!$C$4:$C$81,'Protocol NDCs (numerical)'!$A72,'NDC emission targets'!$AH$4:$AH$81)</f>
        <v>2030</v>
      </c>
      <c r="G72" s="534" t="s">
        <v>2570</v>
      </c>
      <c r="H72" s="385" t="str">
        <f t="shared" ref="H72:H86" si="2">IF(C72=0,"Not provided, check NDC sheets","-")</f>
        <v>-</v>
      </c>
    </row>
    <row r="73" spans="1:8" x14ac:dyDescent="0.25">
      <c r="A73" s="534" t="s">
        <v>11</v>
      </c>
      <c r="B73" s="534" t="s">
        <v>2095</v>
      </c>
      <c r="C73" s="973">
        <f>SUMIF('NDC emission targets'!$C$4:$C$81,'Protocol NDCs (numerical)'!$A73,'NDC emission targets'!$AW$4:$AW$81)</f>
        <v>0</v>
      </c>
      <c r="D73" s="534" t="s">
        <v>2098</v>
      </c>
      <c r="F73" s="385">
        <f>SUMIF('NDC emission targets'!$C$4:$C$81,'Protocol NDCs (numerical)'!$A73,'NDC emission targets'!$AH$4:$AH$81)</f>
        <v>2030</v>
      </c>
      <c r="G73" s="534" t="s">
        <v>2570</v>
      </c>
      <c r="H73" s="385" t="str">
        <f t="shared" si="2"/>
        <v>Not provided, check NDC sheets</v>
      </c>
    </row>
    <row r="74" spans="1:8" x14ac:dyDescent="0.25">
      <c r="A74" s="534" t="s">
        <v>13</v>
      </c>
      <c r="B74" s="534" t="s">
        <v>2095</v>
      </c>
      <c r="C74" s="973">
        <f>SUMIF('NDC emission targets'!$C$4:$C$81,'Protocol NDCs (numerical)'!$A74,'NDC emission targets'!$AW$4:$AW$81)</f>
        <v>3092.8182386000003</v>
      </c>
      <c r="D74" s="534" t="s">
        <v>2098</v>
      </c>
      <c r="F74" s="385">
        <f>SUMIF('NDC emission targets'!$C$4:$C$81,'Protocol NDCs (numerical)'!$A74,'NDC emission targets'!$AH$4:$AH$81)</f>
        <v>2030</v>
      </c>
      <c r="G74" s="534" t="s">
        <v>2570</v>
      </c>
      <c r="H74" s="385" t="str">
        <f t="shared" si="2"/>
        <v>-</v>
      </c>
    </row>
    <row r="75" spans="1:8" x14ac:dyDescent="0.25">
      <c r="A75" s="534" t="s">
        <v>4</v>
      </c>
      <c r="B75" s="534" t="s">
        <v>2095</v>
      </c>
      <c r="C75" s="973">
        <f>SUMIF('NDC emission targets'!$C$4:$C$81,'Protocol NDCs (numerical)'!$A75,'NDC emission targets'!$AW$4:$AW$81)</f>
        <v>0</v>
      </c>
      <c r="D75" s="534" t="s">
        <v>2098</v>
      </c>
      <c r="F75" s="385">
        <f>SUMIF('NDC emission targets'!$C$4:$C$81,'Protocol NDCs (numerical)'!$A75,'NDC emission targets'!$AH$4:$AH$81)</f>
        <v>2030</v>
      </c>
      <c r="G75" s="534" t="s">
        <v>2570</v>
      </c>
      <c r="H75" s="385" t="str">
        <f t="shared" si="2"/>
        <v>Not provided, check NDC sheets</v>
      </c>
    </row>
    <row r="76" spans="1:8" x14ac:dyDescent="0.25">
      <c r="A76" s="534" t="s">
        <v>6</v>
      </c>
      <c r="B76" s="534" t="s">
        <v>2095</v>
      </c>
      <c r="C76" s="973">
        <f>SUMIF('NDC emission targets'!$C$4:$C$81,'Protocol NDCs (numerical)'!$A76,'NDC emission targets'!$AW$4:$AW$81)</f>
        <v>1699.7900000000002</v>
      </c>
      <c r="D76" s="534" t="s">
        <v>2098</v>
      </c>
      <c r="F76" s="385">
        <f>SUMIF('NDC emission targets'!$C$4:$C$81,'Protocol NDCs (numerical)'!$A76,'NDC emission targets'!$AH$4:$AH$81)</f>
        <v>2030</v>
      </c>
      <c r="G76" s="534" t="s">
        <v>2570</v>
      </c>
      <c r="H76" s="385" t="str">
        <f t="shared" si="2"/>
        <v>-</v>
      </c>
    </row>
    <row r="77" spans="1:8" x14ac:dyDescent="0.25">
      <c r="A77" s="534" t="s">
        <v>14</v>
      </c>
      <c r="B77" s="534" t="s">
        <v>2095</v>
      </c>
      <c r="C77" s="973">
        <f>SUMIF('NDC emission targets'!$C$4:$C$81,'Protocol NDCs (numerical)'!$A77,'NDC emission targets'!$AW$4:$AW$81)</f>
        <v>1002.9200000000001</v>
      </c>
      <c r="D77" s="534" t="s">
        <v>2098</v>
      </c>
      <c r="F77" s="385">
        <f>SUMIF('NDC emission targets'!$C$4:$C$81,'Protocol NDCs (numerical)'!$A77,'NDC emission targets'!$AH$4:$AH$81)</f>
        <v>2030</v>
      </c>
      <c r="G77" s="534" t="s">
        <v>2570</v>
      </c>
      <c r="H77" s="385" t="str">
        <f t="shared" si="2"/>
        <v>-</v>
      </c>
    </row>
    <row r="78" spans="1:8" x14ac:dyDescent="0.25">
      <c r="A78" s="534" t="s">
        <v>247</v>
      </c>
      <c r="B78" s="534" t="s">
        <v>2095</v>
      </c>
      <c r="C78" s="973">
        <f>SUMIF('NDC emission targets'!$C$4:$C$81,'Protocol NDCs (numerical)'!$A78,'NDC emission targets'!$AW$4:$AW$81)</f>
        <v>0</v>
      </c>
      <c r="D78" s="534" t="s">
        <v>2098</v>
      </c>
      <c r="F78" s="385">
        <f>SUMIF('NDC emission targets'!$C$4:$C$81,'Protocol NDCs (numerical)'!$A78,'NDC emission targets'!$AH$4:$AH$81)</f>
        <v>2030</v>
      </c>
      <c r="G78" s="534" t="s">
        <v>2570</v>
      </c>
      <c r="H78" s="385" t="str">
        <f t="shared" si="2"/>
        <v>Not provided, check NDC sheets</v>
      </c>
    </row>
    <row r="79" spans="1:8" x14ac:dyDescent="0.25">
      <c r="A79" s="534" t="s">
        <v>15</v>
      </c>
      <c r="B79" s="534" t="s">
        <v>2095</v>
      </c>
      <c r="C79" s="973">
        <f>SUMIF('NDC emission targets'!$C$4:$C$81,'Protocol NDCs (numerical)'!$A79,'NDC emission targets'!$AW$4:$AW$81)</f>
        <v>622.72</v>
      </c>
      <c r="D79" s="534" t="s">
        <v>2098</v>
      </c>
      <c r="F79" s="385">
        <f>SUMIF('NDC emission targets'!$C$4:$C$81,'Protocol NDCs (numerical)'!$A79,'NDC emission targets'!$AH$4:$AH$81)</f>
        <v>2030</v>
      </c>
      <c r="G79" s="534" t="s">
        <v>2570</v>
      </c>
      <c r="H79" s="385" t="str">
        <f t="shared" si="2"/>
        <v>-</v>
      </c>
    </row>
    <row r="80" spans="1:8" x14ac:dyDescent="0.25">
      <c r="A80" s="534" t="s">
        <v>181</v>
      </c>
      <c r="B80" s="534" t="s">
        <v>2095</v>
      </c>
      <c r="C80" s="973">
        <f>SUMIF('NDC emission targets'!$C$4:$C$81,'Protocol NDCs (numerical)'!$A80,'NDC emission targets'!$AW$4:$AW$81)</f>
        <v>2357.447036</v>
      </c>
      <c r="D80" s="534" t="s">
        <v>2098</v>
      </c>
      <c r="F80" s="385">
        <f>SUMIF('NDC emission targets'!$C$4:$C$81,'Protocol NDCs (numerical)'!$A80,'NDC emission targets'!$AH$4:$AH$81)</f>
        <v>2030</v>
      </c>
      <c r="G80" s="534" t="s">
        <v>2570</v>
      </c>
      <c r="H80" s="385" t="str">
        <f t="shared" si="2"/>
        <v>-</v>
      </c>
    </row>
    <row r="81" spans="1:8" x14ac:dyDescent="0.25">
      <c r="A81" s="534" t="s">
        <v>17</v>
      </c>
      <c r="B81" s="534" t="s">
        <v>2095</v>
      </c>
      <c r="C81" s="973">
        <f>SUMIF('NDC emission targets'!$C$4:$C$81,'Protocol NDCs (numerical)'!$A81,'NDC emission targets'!$AW$4:$AW$81)</f>
        <v>0</v>
      </c>
      <c r="D81" s="534" t="s">
        <v>2098</v>
      </c>
      <c r="F81" s="385">
        <f>SUMIF('NDC emission targets'!$C$4:$C$81,'Protocol NDCs (numerical)'!$A81,'NDC emission targets'!$AH$4:$AH$81)</f>
        <v>2030</v>
      </c>
      <c r="G81" s="534" t="s">
        <v>2570</v>
      </c>
      <c r="H81" s="385" t="str">
        <f t="shared" si="2"/>
        <v>Not provided, check NDC sheets</v>
      </c>
    </row>
    <row r="82" spans="1:8" x14ac:dyDescent="0.25">
      <c r="A82" s="534" t="s">
        <v>19</v>
      </c>
      <c r="B82" s="534" t="s">
        <v>2095</v>
      </c>
      <c r="C82" s="973">
        <f>SUMIF('NDC emission targets'!$C$4:$C$81,'Protocol NDCs (numerical)'!$A82,'NDC emission targets'!$AW$4:$AW$81)</f>
        <v>506</v>
      </c>
      <c r="D82" s="534" t="s">
        <v>2098</v>
      </c>
      <c r="F82" s="385">
        <f>SUMIF('NDC emission targets'!$C$4:$C$81,'Protocol NDCs (numerical)'!$A82,'NDC emission targets'!$AH$4:$AH$81)</f>
        <v>2030</v>
      </c>
      <c r="G82" s="534" t="s">
        <v>2570</v>
      </c>
      <c r="H82" s="385" t="str">
        <f t="shared" si="2"/>
        <v>-</v>
      </c>
    </row>
    <row r="83" spans="1:8" x14ac:dyDescent="0.25">
      <c r="A83" s="534" t="s">
        <v>21</v>
      </c>
      <c r="B83" s="534" t="s">
        <v>2095</v>
      </c>
      <c r="C83" s="973">
        <f>SUMIF('NDC emission targets'!$C$4:$C$81,'Protocol NDCs (numerical)'!$A83,'NDC emission targets'!$AW$4:$AW$81)</f>
        <v>928.25</v>
      </c>
      <c r="D83" s="534" t="s">
        <v>2098</v>
      </c>
      <c r="F83" s="385">
        <f>SUMIF('NDC emission targets'!$C$4:$C$81,'Protocol NDCs (numerical)'!$A83,'NDC emission targets'!$AH$4:$AH$81)</f>
        <v>2030</v>
      </c>
      <c r="G83" s="534" t="s">
        <v>2570</v>
      </c>
      <c r="H83" s="385" t="str">
        <f t="shared" si="2"/>
        <v>-</v>
      </c>
    </row>
    <row r="84" spans="1:8" x14ac:dyDescent="0.25">
      <c r="A84" s="534" t="s">
        <v>22</v>
      </c>
      <c r="B84" s="534" t="s">
        <v>2095</v>
      </c>
      <c r="C84" s="973">
        <f>SUMIF('NDC emission targets'!$C$4:$C$81,'Protocol NDCs (numerical)'!$A84,'NDC emission targets'!$AW$4:$AW$81)</f>
        <v>4542.8366841062834</v>
      </c>
      <c r="D84" s="534" t="s">
        <v>2098</v>
      </c>
      <c r="F84" s="385">
        <f>SUMIF('NDC emission targets'!$C$4:$C$81,'Protocol NDCs (numerical)'!$A84,'NDC emission targets'!$AH$4:$AH$81)</f>
        <v>2025</v>
      </c>
      <c r="G84" s="534" t="s">
        <v>2570</v>
      </c>
      <c r="H84" s="385" t="str">
        <f t="shared" si="2"/>
        <v>-</v>
      </c>
    </row>
    <row r="85" spans="1:8" x14ac:dyDescent="0.25">
      <c r="A85" s="534" t="s">
        <v>12</v>
      </c>
      <c r="B85" s="534" t="s">
        <v>2096</v>
      </c>
      <c r="C85" s="973">
        <f>SUMIF('NDC emission targets'!$C$4:$C$81,'Protocol NDCs (numerical)'!$A85,'NDC emission targets'!$AX$4:$AX$81)</f>
        <v>353.85499999999996</v>
      </c>
      <c r="D85" s="534" t="s">
        <v>2098</v>
      </c>
      <c r="F85" s="385">
        <f>SUMIF('NDC emission targets'!$C$4:$C$81,'Protocol NDCs (numerical)'!$A85,'NDC emission targets'!$AH$4:$AH$81)</f>
        <v>2030</v>
      </c>
      <c r="G85" s="534" t="s">
        <v>2571</v>
      </c>
      <c r="H85" s="385" t="str">
        <f t="shared" si="2"/>
        <v>-</v>
      </c>
    </row>
    <row r="86" spans="1:8" x14ac:dyDescent="0.25">
      <c r="A86" s="534" t="s">
        <v>7</v>
      </c>
      <c r="B86" s="534" t="s">
        <v>2096</v>
      </c>
      <c r="C86" s="973">
        <f>SUMIF('NDC emission targets'!$C$4:$C$81,'Protocol NDCs (numerical)'!$A86,'NDC emission targets'!$AX$4:$AX$81)</f>
        <v>366.79981563111113</v>
      </c>
      <c r="D86" s="534" t="s">
        <v>2098</v>
      </c>
      <c r="F86" s="385">
        <f>SUMIF('NDC emission targets'!$C$4:$C$81,'Protocol NDCs (numerical)'!$A86,'NDC emission targets'!$AH$4:$AH$81)</f>
        <v>2030</v>
      </c>
      <c r="G86" s="534" t="s">
        <v>2571</v>
      </c>
      <c r="H86" s="385" t="str">
        <f t="shared" si="2"/>
        <v>-</v>
      </c>
    </row>
    <row r="87" spans="1:8" x14ac:dyDescent="0.25">
      <c r="A87" s="534" t="s">
        <v>0</v>
      </c>
      <c r="B87" s="534" t="s">
        <v>2096</v>
      </c>
      <c r="C87" s="973">
        <f>SUMIF('NDC emission targets'!$C$4:$C$81,'Protocol NDCs (numerical)'!$A87,'NDC emission targets'!$AX$4:$AX$81)</f>
        <v>1300</v>
      </c>
      <c r="D87" s="534" t="s">
        <v>2098</v>
      </c>
      <c r="F87" s="385">
        <f>SUMIF('NDC emission targets'!$C$4:$C$81,'Protocol NDCs (numerical)'!$A87,'NDC emission targets'!$AH$4:$AH$81)</f>
        <v>2025</v>
      </c>
      <c r="G87" s="534" t="s">
        <v>2571</v>
      </c>
      <c r="H87" s="385" t="s">
        <v>2572</v>
      </c>
    </row>
    <row r="88" spans="1:8" x14ac:dyDescent="0.25">
      <c r="A88" s="534" t="s">
        <v>0</v>
      </c>
      <c r="B88" s="534" t="s">
        <v>2096</v>
      </c>
      <c r="C88" s="974">
        <v>1200</v>
      </c>
      <c r="D88" s="534" t="s">
        <v>2098</v>
      </c>
      <c r="F88" s="385">
        <v>2030</v>
      </c>
      <c r="G88" s="534" t="s">
        <v>2571</v>
      </c>
      <c r="H88" s="385" t="s">
        <v>2572</v>
      </c>
    </row>
    <row r="89" spans="1:8" x14ac:dyDescent="0.25">
      <c r="A89" s="534" t="s">
        <v>18</v>
      </c>
      <c r="B89" s="534" t="s">
        <v>2096</v>
      </c>
      <c r="C89" s="973">
        <f>SUMIF('NDC emission targets'!$C$4:$C$81,'Protocol NDCs (numerical)'!$A89,'NDC emission targets'!$AX$4:$AX$81)</f>
        <v>545.08033499999999</v>
      </c>
      <c r="D89" s="534" t="s">
        <v>2098</v>
      </c>
      <c r="F89" s="385">
        <f>SUMIF('NDC emission targets'!$C$4:$C$81,'Protocol NDCs (numerical)'!$A89,'NDC emission targets'!$AH$4:$AH$81)</f>
        <v>2030</v>
      </c>
      <c r="G89" s="534" t="s">
        <v>2571</v>
      </c>
      <c r="H89" s="385" t="str">
        <f t="shared" ref="H89:H101" si="3">IF(C89=0,"Not provided, check NDC sheets","-")</f>
        <v>-</v>
      </c>
    </row>
    <row r="90" spans="1:8" x14ac:dyDescent="0.25">
      <c r="A90" s="534" t="s">
        <v>11</v>
      </c>
      <c r="B90" s="534" t="s">
        <v>2096</v>
      </c>
      <c r="C90" s="973">
        <f>SUMIF('NDC emission targets'!$C$4:$C$81,'Protocol NDCs (numerical)'!$A90,'NDC emission targets'!$AX$4:$AX$81)</f>
        <v>0</v>
      </c>
      <c r="D90" s="534" t="s">
        <v>2098</v>
      </c>
      <c r="F90" s="385">
        <f>SUMIF('NDC emission targets'!$C$4:$C$81,'Protocol NDCs (numerical)'!$A90,'NDC emission targets'!$AH$4:$AH$81)</f>
        <v>2030</v>
      </c>
      <c r="G90" s="534" t="s">
        <v>2571</v>
      </c>
      <c r="H90" s="385" t="str">
        <f t="shared" si="3"/>
        <v>Not provided, check NDC sheets</v>
      </c>
    </row>
    <row r="91" spans="1:8" x14ac:dyDescent="0.25">
      <c r="A91" s="534" t="s">
        <v>13</v>
      </c>
      <c r="B91" s="534" t="s">
        <v>2096</v>
      </c>
      <c r="C91" s="973">
        <f>SUMIF('NDC emission targets'!$C$4:$C$81,'Protocol NDCs (numerical)'!$A91,'NDC emission targets'!$AX$4:$AX$81)</f>
        <v>3375.7558440000003</v>
      </c>
      <c r="D91" s="534" t="s">
        <v>2098</v>
      </c>
      <c r="F91" s="385">
        <f>SUMIF('NDC emission targets'!$C$4:$C$81,'Protocol NDCs (numerical)'!$A91,'NDC emission targets'!$AH$4:$AH$81)</f>
        <v>2030</v>
      </c>
      <c r="G91" s="534" t="s">
        <v>2571</v>
      </c>
      <c r="H91" s="385" t="str">
        <f t="shared" si="3"/>
        <v>-</v>
      </c>
    </row>
    <row r="92" spans="1:8" x14ac:dyDescent="0.25">
      <c r="A92" s="534" t="s">
        <v>4</v>
      </c>
      <c r="B92" s="534" t="s">
        <v>2096</v>
      </c>
      <c r="C92" s="973">
        <f>SUMIF('NDC emission targets'!$C$4:$C$81,'Protocol NDCs (numerical)'!$A92,'NDC emission targets'!$AX$4:$AX$81)</f>
        <v>0</v>
      </c>
      <c r="D92" s="534" t="s">
        <v>2098</v>
      </c>
      <c r="F92" s="385">
        <f>SUMIF('NDC emission targets'!$C$4:$C$81,'Protocol NDCs (numerical)'!$A92,'NDC emission targets'!$AH$4:$AH$81)</f>
        <v>2030</v>
      </c>
      <c r="G92" s="534" t="s">
        <v>2571</v>
      </c>
      <c r="H92" s="385" t="str">
        <f t="shared" si="3"/>
        <v>Not provided, check NDC sheets</v>
      </c>
    </row>
    <row r="93" spans="1:8" x14ac:dyDescent="0.25">
      <c r="A93" s="534" t="s">
        <v>6</v>
      </c>
      <c r="B93" s="534" t="s">
        <v>2096</v>
      </c>
      <c r="C93" s="973">
        <f>SUMIF('NDC emission targets'!$C$4:$C$81,'Protocol NDCs (numerical)'!$A93,'NDC emission targets'!$AX$4:$AX$81)</f>
        <v>1261.0214860000001</v>
      </c>
      <c r="D93" s="534" t="s">
        <v>2098</v>
      </c>
      <c r="F93" s="385">
        <f>SUMIF('NDC emission targets'!$C$4:$C$81,'Protocol NDCs (numerical)'!$A93,'NDC emission targets'!$AH$4:$AH$81)</f>
        <v>2030</v>
      </c>
      <c r="G93" s="534" t="s">
        <v>2571</v>
      </c>
      <c r="H93" s="385" t="str">
        <f t="shared" si="3"/>
        <v>-</v>
      </c>
    </row>
    <row r="94" spans="1:8" x14ac:dyDescent="0.25">
      <c r="A94" s="534" t="s">
        <v>14</v>
      </c>
      <c r="B94" s="534" t="s">
        <v>2096</v>
      </c>
      <c r="C94" s="973">
        <f>SUMIF('NDC emission targets'!$C$4:$C$81,'Protocol NDCs (numerical)'!$A94,'NDC emission targets'!$AX$4:$AX$81)</f>
        <v>1078.92</v>
      </c>
      <c r="D94" s="534" t="s">
        <v>2098</v>
      </c>
      <c r="F94" s="385">
        <f>SUMIF('NDC emission targets'!$C$4:$C$81,'Protocol NDCs (numerical)'!$A94,'NDC emission targets'!$AH$4:$AH$81)</f>
        <v>2030</v>
      </c>
      <c r="G94" s="534" t="s">
        <v>2571</v>
      </c>
      <c r="H94" s="385" t="str">
        <f t="shared" si="3"/>
        <v>-</v>
      </c>
    </row>
    <row r="95" spans="1:8" x14ac:dyDescent="0.25">
      <c r="A95" s="534" t="s">
        <v>247</v>
      </c>
      <c r="B95" s="534" t="s">
        <v>2096</v>
      </c>
      <c r="C95" s="973">
        <f>SUMIF('NDC emission targets'!$C$4:$C$81,'Protocol NDCs (numerical)'!$A95,'NDC emission targets'!$AX$4:$AX$81)</f>
        <v>535.87800000000004</v>
      </c>
      <c r="D95" s="534" t="s">
        <v>2098</v>
      </c>
      <c r="F95" s="385">
        <f>SUMIF('NDC emission targets'!$C$4:$C$81,'Protocol NDCs (numerical)'!$A95,'NDC emission targets'!$AH$4:$AH$81)</f>
        <v>2030</v>
      </c>
      <c r="G95" s="534" t="s">
        <v>2571</v>
      </c>
      <c r="H95" s="385" t="str">
        <f t="shared" si="3"/>
        <v>-</v>
      </c>
    </row>
    <row r="96" spans="1:8" x14ac:dyDescent="0.25">
      <c r="A96" s="534" t="s">
        <v>15</v>
      </c>
      <c r="B96" s="534" t="s">
        <v>2096</v>
      </c>
      <c r="C96" s="973">
        <f>SUMIF('NDC emission targets'!$C$4:$C$81,'Protocol NDCs (numerical)'!$A96,'NDC emission targets'!$AX$4:$AX$81)</f>
        <v>622.72</v>
      </c>
      <c r="D96" s="534" t="s">
        <v>2098</v>
      </c>
      <c r="F96" s="385">
        <f>SUMIF('NDC emission targets'!$C$4:$C$81,'Protocol NDCs (numerical)'!$A96,'NDC emission targets'!$AH$4:$AH$81)</f>
        <v>2030</v>
      </c>
      <c r="G96" s="534" t="s">
        <v>2571</v>
      </c>
      <c r="H96" s="385" t="str">
        <f t="shared" si="3"/>
        <v>-</v>
      </c>
    </row>
    <row r="97" spans="1:8" x14ac:dyDescent="0.25">
      <c r="A97" s="534" t="s">
        <v>181</v>
      </c>
      <c r="B97" s="534" t="s">
        <v>2096</v>
      </c>
      <c r="C97" s="973">
        <f>SUMIF('NDC emission targets'!$C$4:$C$81,'Protocol NDCs (numerical)'!$A97,'NDC emission targets'!$AX$4:$AX$81)</f>
        <v>2825.6025082063488</v>
      </c>
      <c r="D97" s="534" t="s">
        <v>2098</v>
      </c>
      <c r="F97" s="385">
        <f>SUMIF('NDC emission targets'!$C$4:$C$81,'Protocol NDCs (numerical)'!$A97,'NDC emission targets'!$AH$4:$AH$81)</f>
        <v>2030</v>
      </c>
      <c r="G97" s="534" t="s">
        <v>2571</v>
      </c>
      <c r="H97" s="385" t="str">
        <f t="shared" si="3"/>
        <v>-</v>
      </c>
    </row>
    <row r="98" spans="1:8" x14ac:dyDescent="0.25">
      <c r="A98" s="534" t="s">
        <v>17</v>
      </c>
      <c r="B98" s="534" t="s">
        <v>2096</v>
      </c>
      <c r="C98" s="973">
        <f>SUMIF('NDC emission targets'!$C$4:$C$81,'Protocol NDCs (numerical)'!$A98,'NDC emission targets'!$AX$4:$AX$81)</f>
        <v>1030</v>
      </c>
      <c r="D98" s="534" t="s">
        <v>2098</v>
      </c>
      <c r="F98" s="385">
        <f>SUMIF('NDC emission targets'!$C$4:$C$81,'Protocol NDCs (numerical)'!$A98,'NDC emission targets'!$AH$4:$AH$81)</f>
        <v>2030</v>
      </c>
      <c r="G98" s="534" t="s">
        <v>2571</v>
      </c>
      <c r="H98" s="385" t="str">
        <f t="shared" si="3"/>
        <v>-</v>
      </c>
    </row>
    <row r="99" spans="1:8" x14ac:dyDescent="0.25">
      <c r="A99" s="534" t="s">
        <v>19</v>
      </c>
      <c r="B99" s="534" t="s">
        <v>2096</v>
      </c>
      <c r="C99" s="973">
        <f>SUMIF('NDC emission targets'!$C$4:$C$81,'Protocol NDCs (numerical)'!$A99,'NDC emission targets'!$AX$4:$AX$81)</f>
        <v>532.07500000000005</v>
      </c>
      <c r="D99" s="534" t="s">
        <v>2098</v>
      </c>
      <c r="F99" s="385">
        <f>SUMIF('NDC emission targets'!$C$4:$C$81,'Protocol NDCs (numerical)'!$A99,'NDC emission targets'!$AH$4:$AH$81)</f>
        <v>2030</v>
      </c>
      <c r="G99" s="534" t="s">
        <v>2571</v>
      </c>
      <c r="H99" s="385" t="str">
        <f t="shared" si="3"/>
        <v>-</v>
      </c>
    </row>
    <row r="100" spans="1:8" x14ac:dyDescent="0.25">
      <c r="A100" s="534" t="s">
        <v>21</v>
      </c>
      <c r="B100" s="534" t="s">
        <v>2096</v>
      </c>
      <c r="C100" s="973">
        <f>SUMIF('NDC emission targets'!$C$4:$C$81,'Protocol NDCs (numerical)'!$A100,'NDC emission targets'!$AX$4:$AX$81)</f>
        <v>869.55102999999997</v>
      </c>
      <c r="D100" s="534" t="s">
        <v>2098</v>
      </c>
      <c r="F100" s="385">
        <f>SUMIF('NDC emission targets'!$C$4:$C$81,'Protocol NDCs (numerical)'!$A100,'NDC emission targets'!$AH$4:$AH$81)</f>
        <v>2030</v>
      </c>
      <c r="G100" s="534" t="s">
        <v>2571</v>
      </c>
      <c r="H100" s="385" t="str">
        <f t="shared" si="3"/>
        <v>-</v>
      </c>
    </row>
    <row r="101" spans="1:8" x14ac:dyDescent="0.25">
      <c r="A101" s="534" t="s">
        <v>22</v>
      </c>
      <c r="B101" s="534" t="s">
        <v>2096</v>
      </c>
      <c r="C101" s="973">
        <f>SUMIF('NDC emission targets'!$C$4:$C$81,'Protocol NDCs (numerical)'!$A101,'NDC emission targets'!$AX$4:$AX$81)</f>
        <v>5512.8366841062834</v>
      </c>
      <c r="D101" s="534" t="s">
        <v>2098</v>
      </c>
      <c r="F101" s="385">
        <f>SUMIF('NDC emission targets'!$C$4:$C$81,'Protocol NDCs (numerical)'!$A101,'NDC emission targets'!$AH$4:$AH$81)</f>
        <v>2025</v>
      </c>
      <c r="G101" s="534" t="s">
        <v>2571</v>
      </c>
      <c r="H101" s="385" t="str">
        <f t="shared" si="3"/>
        <v>-</v>
      </c>
    </row>
    <row r="102" spans="1:8" x14ac:dyDescent="0.25">
      <c r="A102" s="703" t="s">
        <v>15</v>
      </c>
      <c r="B102" s="703" t="s">
        <v>2095</v>
      </c>
      <c r="C102" s="972" t="s">
        <v>2099</v>
      </c>
      <c r="D102" s="703" t="s">
        <v>2100</v>
      </c>
      <c r="E102" s="703"/>
      <c r="F102" s="385">
        <v>2026</v>
      </c>
      <c r="G102" s="703" t="s">
        <v>573</v>
      </c>
    </row>
    <row r="103" spans="1:8" x14ac:dyDescent="0.25">
      <c r="A103" s="703" t="s">
        <v>19</v>
      </c>
      <c r="B103" s="703" t="s">
        <v>2095</v>
      </c>
      <c r="C103" s="972" t="s">
        <v>2099</v>
      </c>
      <c r="D103" s="703" t="s">
        <v>2101</v>
      </c>
      <c r="E103" s="703">
        <v>2020</v>
      </c>
      <c r="F103" s="385">
        <v>2025</v>
      </c>
      <c r="G103" s="703" t="s">
        <v>573</v>
      </c>
      <c r="H103" s="385" t="s">
        <v>2102</v>
      </c>
    </row>
    <row r="104" spans="1:8" x14ac:dyDescent="0.25">
      <c r="A104" s="738" t="s">
        <v>11</v>
      </c>
      <c r="B104" s="738" t="s">
        <v>2103</v>
      </c>
      <c r="C104" s="975">
        <v>20</v>
      </c>
      <c r="D104" s="738" t="s">
        <v>1904</v>
      </c>
      <c r="E104" s="738"/>
      <c r="F104" s="385">
        <v>2030</v>
      </c>
      <c r="G104" s="738" t="s">
        <v>2515</v>
      </c>
      <c r="H104" s="385" t="s">
        <v>1379</v>
      </c>
    </row>
    <row r="105" spans="1:8" x14ac:dyDescent="0.25">
      <c r="A105" s="738" t="s">
        <v>11</v>
      </c>
      <c r="B105" s="738" t="s">
        <v>2104</v>
      </c>
      <c r="C105" s="975" t="s">
        <v>2105</v>
      </c>
      <c r="D105" s="738" t="s">
        <v>1981</v>
      </c>
      <c r="E105" s="738">
        <v>2005</v>
      </c>
      <c r="F105" s="385">
        <v>2030</v>
      </c>
      <c r="G105" s="738" t="s">
        <v>2515</v>
      </c>
    </row>
    <row r="106" spans="1:8" x14ac:dyDescent="0.25">
      <c r="A106" s="738" t="s">
        <v>11</v>
      </c>
      <c r="B106" s="738" t="s">
        <v>2106</v>
      </c>
      <c r="C106" s="972" t="s">
        <v>2099</v>
      </c>
      <c r="D106" s="738" t="s">
        <v>2107</v>
      </c>
      <c r="E106" s="738"/>
      <c r="F106" s="385">
        <v>2030</v>
      </c>
      <c r="G106" s="738" t="s">
        <v>2515</v>
      </c>
    </row>
    <row r="107" spans="1:8" x14ac:dyDescent="0.25">
      <c r="A107" s="738" t="s">
        <v>4</v>
      </c>
      <c r="B107" s="738" t="s">
        <v>2108</v>
      </c>
      <c r="C107" s="975">
        <v>40</v>
      </c>
      <c r="D107" s="738" t="s">
        <v>1904</v>
      </c>
      <c r="E107" s="738"/>
      <c r="F107" s="385">
        <v>2030</v>
      </c>
      <c r="G107" s="738" t="s">
        <v>2515</v>
      </c>
      <c r="H107" s="385" t="s">
        <v>1381</v>
      </c>
    </row>
    <row r="108" spans="1:8" x14ac:dyDescent="0.25">
      <c r="A108" s="738" t="s">
        <v>4</v>
      </c>
      <c r="B108" s="738" t="s">
        <v>2109</v>
      </c>
      <c r="C108" s="975" t="s">
        <v>2110</v>
      </c>
      <c r="D108" s="738" t="s">
        <v>2111</v>
      </c>
      <c r="E108" s="738"/>
      <c r="F108" s="385">
        <v>2030</v>
      </c>
      <c r="G108" s="738" t="s">
        <v>2515</v>
      </c>
      <c r="H108" s="385" t="s">
        <v>2112</v>
      </c>
    </row>
  </sheetData>
  <autoFilter ref="A2:H67" xr:uid="{00000000-0009-0000-0000-00000B000000}"/>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sheetPr>
  <dimension ref="A1"/>
  <sheetViews>
    <sheetView workbookViewId="0">
      <selection activeCell="K34" sqref="K34"/>
    </sheetView>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82"/>
  <sheetViews>
    <sheetView workbookViewId="0">
      <selection activeCell="G33" sqref="G33"/>
    </sheetView>
  </sheetViews>
  <sheetFormatPr defaultRowHeight="15" x14ac:dyDescent="0.25"/>
  <cols>
    <col min="1" max="1" width="18.140625" bestFit="1" customWidth="1"/>
    <col min="2" max="2" width="23.28515625" style="534" bestFit="1" customWidth="1"/>
    <col min="3" max="3" width="26.5703125" style="534" customWidth="1"/>
    <col min="4" max="5" width="26.5703125" customWidth="1"/>
    <col min="6" max="6" width="26.5703125" bestFit="1" customWidth="1"/>
    <col min="7" max="7" width="26.140625" customWidth="1"/>
    <col min="8" max="8" width="11.42578125" style="534" bestFit="1" customWidth="1"/>
    <col min="9" max="9" width="26.5703125" style="534" bestFit="1" customWidth="1"/>
    <col min="10" max="10" width="11.42578125" customWidth="1"/>
    <col min="11" max="11" width="26.140625" bestFit="1" customWidth="1"/>
    <col min="12" max="12" width="10" bestFit="1" customWidth="1"/>
    <col min="13" max="13" width="26.5703125" style="534" bestFit="1" customWidth="1"/>
    <col min="14" max="14" width="10.7109375" bestFit="1" customWidth="1"/>
  </cols>
  <sheetData>
    <row r="1" spans="1:14" s="534" customFormat="1" x14ac:dyDescent="0.25">
      <c r="C1" s="720"/>
      <c r="D1" s="721"/>
      <c r="E1" s="686"/>
      <c r="F1" s="686"/>
      <c r="G1" s="720" t="s">
        <v>2075</v>
      </c>
      <c r="H1" s="686" t="s">
        <v>2077</v>
      </c>
      <c r="I1" s="686"/>
      <c r="J1" s="721"/>
      <c r="K1" s="720" t="s">
        <v>2075</v>
      </c>
      <c r="L1" s="686" t="s">
        <v>2077</v>
      </c>
      <c r="M1" s="686"/>
      <c r="N1" s="721"/>
    </row>
    <row r="2" spans="1:14" s="534" customFormat="1" x14ac:dyDescent="0.25">
      <c r="C2" s="722" t="s">
        <v>2084</v>
      </c>
      <c r="D2" s="723" t="s">
        <v>2083</v>
      </c>
      <c r="E2" s="521" t="s">
        <v>2084</v>
      </c>
      <c r="F2" s="521" t="s">
        <v>2083</v>
      </c>
      <c r="G2" s="722" t="s">
        <v>2083</v>
      </c>
      <c r="H2" s="521" t="s">
        <v>2083</v>
      </c>
      <c r="I2" s="521"/>
      <c r="J2" s="723" t="s">
        <v>2085</v>
      </c>
      <c r="K2" s="722" t="s">
        <v>2083</v>
      </c>
      <c r="L2" s="521" t="s">
        <v>2083</v>
      </c>
      <c r="M2" s="521"/>
      <c r="N2" s="723" t="s">
        <v>2085</v>
      </c>
    </row>
    <row r="3" spans="1:14" s="534" customFormat="1" x14ac:dyDescent="0.25">
      <c r="C3" s="722"/>
      <c r="D3" s="723"/>
      <c r="E3" s="521"/>
      <c r="F3" s="521"/>
      <c r="G3" s="722" t="s">
        <v>2078</v>
      </c>
      <c r="H3" s="521" t="s">
        <v>575</v>
      </c>
      <c r="I3" s="521"/>
      <c r="J3" s="723"/>
      <c r="K3" s="722" t="s">
        <v>2078</v>
      </c>
      <c r="L3" s="521" t="s">
        <v>575</v>
      </c>
      <c r="M3" s="521"/>
      <c r="N3" s="723"/>
    </row>
    <row r="4" spans="1:14" s="534" customFormat="1" x14ac:dyDescent="0.25">
      <c r="C4" s="722" t="s">
        <v>2082</v>
      </c>
      <c r="D4" s="723" t="s">
        <v>2080</v>
      </c>
      <c r="E4" s="521" t="s">
        <v>2082</v>
      </c>
      <c r="F4" s="521" t="s">
        <v>2080</v>
      </c>
      <c r="G4" s="732" t="s">
        <v>2082</v>
      </c>
      <c r="H4" s="733" t="s">
        <v>2081</v>
      </c>
      <c r="I4" s="733" t="s">
        <v>2080</v>
      </c>
      <c r="J4" s="734" t="s">
        <v>2081</v>
      </c>
      <c r="K4" s="732" t="s">
        <v>2082</v>
      </c>
      <c r="L4" s="733"/>
      <c r="M4" s="732" t="s">
        <v>2080</v>
      </c>
      <c r="N4" s="734"/>
    </row>
    <row r="5" spans="1:14" s="534" customFormat="1" x14ac:dyDescent="0.25">
      <c r="A5" s="728" t="s">
        <v>2083</v>
      </c>
      <c r="B5" s="729" t="s">
        <v>2085</v>
      </c>
      <c r="C5" s="728">
        <v>2005</v>
      </c>
      <c r="D5" s="731">
        <v>2005</v>
      </c>
      <c r="E5" s="729">
        <v>2010</v>
      </c>
      <c r="F5" s="729">
        <v>2010</v>
      </c>
      <c r="G5" s="728">
        <v>2005</v>
      </c>
      <c r="H5" s="729">
        <v>2005</v>
      </c>
      <c r="I5" s="729">
        <v>2005</v>
      </c>
      <c r="J5" s="729">
        <v>2005</v>
      </c>
      <c r="K5" s="729">
        <v>2010</v>
      </c>
      <c r="L5" s="730">
        <v>2010</v>
      </c>
      <c r="M5" s="729">
        <v>2010</v>
      </c>
      <c r="N5" s="731">
        <v>2010</v>
      </c>
    </row>
    <row r="6" spans="1:14" x14ac:dyDescent="0.25">
      <c r="A6" s="727" t="s">
        <v>23</v>
      </c>
      <c r="B6" s="717" t="s">
        <v>916</v>
      </c>
      <c r="C6" s="735">
        <f>D6+J6</f>
        <v>5004744.8810999999</v>
      </c>
      <c r="D6" s="736">
        <f>G6-H6</f>
        <v>5332600</v>
      </c>
      <c r="E6" s="737">
        <f>F6+N6</f>
        <v>4555520.0787000004</v>
      </c>
      <c r="F6" s="737">
        <f>K6-L6</f>
        <v>4898490</v>
      </c>
      <c r="G6" s="724">
        <v>5320000</v>
      </c>
      <c r="H6" s="725">
        <v>-12600</v>
      </c>
      <c r="I6" s="725">
        <v>5332600</v>
      </c>
      <c r="J6" s="725">
        <v>-327855.1189</v>
      </c>
      <c r="K6" s="725">
        <v>4900000</v>
      </c>
      <c r="L6" s="725">
        <v>1510</v>
      </c>
      <c r="M6" s="725">
        <v>4898490</v>
      </c>
      <c r="N6" s="726">
        <v>-342969.92129999999</v>
      </c>
    </row>
    <row r="7" spans="1:14" hidden="1" x14ac:dyDescent="0.25">
      <c r="A7" s="318"/>
      <c r="B7" s="318"/>
      <c r="C7" s="410"/>
      <c r="D7" s="457"/>
      <c r="E7" s="404"/>
      <c r="F7" s="404"/>
      <c r="G7" s="722"/>
      <c r="H7" s="521"/>
      <c r="I7" s="521"/>
      <c r="J7" s="521"/>
      <c r="K7" s="521"/>
      <c r="L7" s="521"/>
      <c r="M7" s="521"/>
      <c r="N7" s="723"/>
    </row>
    <row r="8" spans="1:14" hidden="1" x14ac:dyDescent="0.25">
      <c r="A8" s="320"/>
      <c r="B8" s="320"/>
      <c r="C8" s="410"/>
      <c r="D8" s="457"/>
      <c r="E8" s="404"/>
      <c r="F8" s="404"/>
      <c r="G8" s="722"/>
      <c r="H8" s="521"/>
      <c r="I8" s="521"/>
      <c r="J8" s="521"/>
      <c r="K8" s="521"/>
      <c r="L8" s="521"/>
      <c r="M8" s="521"/>
      <c r="N8" s="723"/>
    </row>
    <row r="9" spans="1:14" hidden="1" x14ac:dyDescent="0.25">
      <c r="A9" s="318"/>
      <c r="B9" s="318"/>
      <c r="C9" s="410"/>
      <c r="D9" s="457"/>
      <c r="E9" s="404"/>
      <c r="F9" s="404"/>
      <c r="G9" s="722"/>
      <c r="H9" s="521"/>
      <c r="I9" s="521"/>
      <c r="J9" s="521"/>
      <c r="K9" s="521"/>
      <c r="L9" s="521"/>
      <c r="M9" s="521"/>
      <c r="N9" s="723"/>
    </row>
    <row r="10" spans="1:14" hidden="1" x14ac:dyDescent="0.25">
      <c r="A10" s="320"/>
      <c r="B10" s="320"/>
      <c r="C10" s="410"/>
      <c r="D10" s="457"/>
      <c r="E10" s="404"/>
      <c r="F10" s="404"/>
      <c r="G10" s="722"/>
      <c r="H10" s="521"/>
      <c r="I10" s="521"/>
      <c r="J10" s="521"/>
      <c r="K10" s="521"/>
      <c r="L10" s="521"/>
      <c r="M10" s="521"/>
      <c r="N10" s="723"/>
    </row>
    <row r="11" spans="1:14" hidden="1" x14ac:dyDescent="0.25">
      <c r="A11" s="318"/>
      <c r="B11" s="318"/>
      <c r="C11" s="410"/>
      <c r="D11" s="457"/>
      <c r="E11" s="404"/>
      <c r="F11" s="404"/>
      <c r="G11" s="722"/>
      <c r="H11" s="521"/>
      <c r="I11" s="521"/>
      <c r="J11" s="521"/>
      <c r="K11" s="521"/>
      <c r="L11" s="521"/>
      <c r="M11" s="521"/>
      <c r="N11" s="723"/>
    </row>
    <row r="12" spans="1:14" x14ac:dyDescent="0.25">
      <c r="A12" s="715"/>
      <c r="B12" s="715"/>
      <c r="C12" s="410"/>
      <c r="D12" s="457"/>
      <c r="E12" s="404"/>
      <c r="F12" s="404"/>
      <c r="G12" s="722"/>
      <c r="H12" s="521"/>
      <c r="I12" s="521"/>
      <c r="J12" s="521"/>
      <c r="K12" s="521"/>
      <c r="L12" s="521"/>
      <c r="M12" s="521"/>
      <c r="N12" s="723"/>
    </row>
    <row r="13" spans="1:14" x14ac:dyDescent="0.25">
      <c r="A13" s="716" t="s">
        <v>302</v>
      </c>
      <c r="B13" s="716" t="s">
        <v>18</v>
      </c>
      <c r="C13" s="735">
        <f>D13+J13</f>
        <v>1017029.8969000001</v>
      </c>
      <c r="D13" s="736">
        <f>G13-H13</f>
        <v>767000</v>
      </c>
      <c r="E13" s="737">
        <f>F13+N13</f>
        <v>916542.08120000002</v>
      </c>
      <c r="F13" s="737">
        <f>K13-L13</f>
        <v>741000</v>
      </c>
      <c r="G13" s="724">
        <v>1020000</v>
      </c>
      <c r="H13" s="725">
        <v>253000</v>
      </c>
      <c r="I13" s="725">
        <v>767000</v>
      </c>
      <c r="J13" s="725">
        <v>250029.89689999999</v>
      </c>
      <c r="K13" s="725">
        <v>872000</v>
      </c>
      <c r="L13" s="725">
        <v>131000</v>
      </c>
      <c r="M13" s="725">
        <v>741000</v>
      </c>
      <c r="N13" s="726">
        <v>175542.08119999999</v>
      </c>
    </row>
    <row r="14" spans="1:14" x14ac:dyDescent="0.25">
      <c r="A14" s="716" t="s">
        <v>301</v>
      </c>
      <c r="B14" s="716" t="s">
        <v>15</v>
      </c>
      <c r="C14" s="735">
        <f>D14+J14</f>
        <v>691900</v>
      </c>
      <c r="D14" s="736">
        <f>G14-H14</f>
        <v>674300</v>
      </c>
      <c r="E14" s="737">
        <f>F14+N14</f>
        <v>728900</v>
      </c>
      <c r="F14" s="737">
        <f>K14-L14</f>
        <v>717900</v>
      </c>
      <c r="G14" s="724">
        <v>700000</v>
      </c>
      <c r="H14" s="725">
        <v>25700</v>
      </c>
      <c r="I14" s="725">
        <v>674300</v>
      </c>
      <c r="J14" s="725">
        <v>17600</v>
      </c>
      <c r="K14" s="725">
        <v>742000</v>
      </c>
      <c r="L14" s="725">
        <v>24100</v>
      </c>
      <c r="M14" s="725">
        <v>717900</v>
      </c>
      <c r="N14" s="726">
        <v>11000</v>
      </c>
    </row>
    <row r="15" spans="1:14" x14ac:dyDescent="0.25">
      <c r="A15" s="716" t="s">
        <v>22</v>
      </c>
      <c r="B15" s="716" t="s">
        <v>55</v>
      </c>
      <c r="C15" s="735">
        <f>D15+J15</f>
        <v>7042551.1549000004</v>
      </c>
      <c r="D15" s="736">
        <f>G15-H15</f>
        <v>7399913.7000000002</v>
      </c>
      <c r="E15" s="737">
        <f>F15+N15</f>
        <v>6648816.4904999994</v>
      </c>
      <c r="F15" s="737">
        <f>K15-L15</f>
        <v>7019909.5999999996</v>
      </c>
      <c r="G15" s="724">
        <v>7400000</v>
      </c>
      <c r="H15" s="725">
        <v>86.3</v>
      </c>
      <c r="I15" s="725">
        <v>7399913.7000000002</v>
      </c>
      <c r="J15" s="725">
        <v>-357362.54509999999</v>
      </c>
      <c r="K15" s="725">
        <v>7020000</v>
      </c>
      <c r="L15" s="725">
        <v>90.4</v>
      </c>
      <c r="M15" s="725">
        <v>7019909.5999999996</v>
      </c>
      <c r="N15" s="726">
        <v>-371093.10950000002</v>
      </c>
    </row>
    <row r="16" spans="1:14" x14ac:dyDescent="0.25">
      <c r="A16" s="715"/>
      <c r="B16" s="715"/>
      <c r="C16" s="410"/>
      <c r="D16" s="457"/>
      <c r="E16" s="404"/>
      <c r="F16" s="404"/>
      <c r="G16" s="722"/>
      <c r="H16" s="521"/>
      <c r="I16" s="521"/>
      <c r="J16" s="521"/>
      <c r="K16" s="521"/>
      <c r="L16" s="521"/>
      <c r="M16" s="521"/>
      <c r="N16" s="723"/>
    </row>
    <row r="17" spans="1:14" x14ac:dyDescent="0.25">
      <c r="A17" s="716" t="s">
        <v>298</v>
      </c>
      <c r="B17" s="716" t="s">
        <v>12</v>
      </c>
      <c r="C17" s="735">
        <f>D17+J17</f>
        <v>417069.16139999998</v>
      </c>
      <c r="D17" s="736">
        <f>G17-H17</f>
        <v>329400</v>
      </c>
      <c r="E17" s="737">
        <f>F17+N17</f>
        <v>426511.26669999998</v>
      </c>
      <c r="F17" s="737">
        <f>K17-L17</f>
        <v>331700</v>
      </c>
      <c r="G17" s="724">
        <v>401000</v>
      </c>
      <c r="H17" s="725">
        <v>71600</v>
      </c>
      <c r="I17" s="725">
        <v>329400</v>
      </c>
      <c r="J17" s="725">
        <v>87669.161399999997</v>
      </c>
      <c r="K17" s="725">
        <v>394000</v>
      </c>
      <c r="L17" s="725">
        <v>62300</v>
      </c>
      <c r="M17" s="725">
        <v>331700</v>
      </c>
      <c r="N17" s="726">
        <v>94811.266699999993</v>
      </c>
    </row>
    <row r="18" spans="1:14" x14ac:dyDescent="0.25">
      <c r="A18" s="716" t="s">
        <v>291</v>
      </c>
      <c r="B18" s="716" t="s">
        <v>0</v>
      </c>
      <c r="C18" s="735">
        <f>D18+J18</f>
        <v>2100866.7762000002</v>
      </c>
      <c r="D18" s="736">
        <f>G18-H18</f>
        <v>1010000</v>
      </c>
      <c r="E18" s="737">
        <f>F18+N18</f>
        <v>1628990.5134999999</v>
      </c>
      <c r="F18" s="737">
        <f>K18-L18</f>
        <v>1111000</v>
      </c>
      <c r="G18" s="724">
        <v>2210000</v>
      </c>
      <c r="H18" s="725">
        <v>1200000</v>
      </c>
      <c r="I18" s="725">
        <v>1010000</v>
      </c>
      <c r="J18" s="725">
        <v>1090866.7762</v>
      </c>
      <c r="K18" s="725">
        <v>1900000</v>
      </c>
      <c r="L18" s="725">
        <v>789000</v>
      </c>
      <c r="M18" s="725">
        <v>1111000</v>
      </c>
      <c r="N18" s="726">
        <v>517990.5135</v>
      </c>
    </row>
    <row r="19" spans="1:14" hidden="1" x14ac:dyDescent="0.25">
      <c r="A19" s="318"/>
      <c r="B19" s="318"/>
      <c r="C19" s="410"/>
      <c r="D19" s="457"/>
      <c r="E19" s="404"/>
      <c r="F19" s="404"/>
      <c r="G19" s="722"/>
      <c r="H19" s="521"/>
      <c r="I19" s="521"/>
      <c r="J19" s="521"/>
      <c r="K19" s="521"/>
      <c r="L19" s="521"/>
      <c r="M19" s="521"/>
      <c r="N19" s="723"/>
    </row>
    <row r="20" spans="1:14" hidden="1" x14ac:dyDescent="0.25">
      <c r="A20" s="320"/>
      <c r="B20" s="320"/>
      <c r="C20" s="410"/>
      <c r="D20" s="457"/>
      <c r="E20" s="404"/>
      <c r="F20" s="404"/>
      <c r="G20" s="722"/>
      <c r="H20" s="521"/>
      <c r="I20" s="521"/>
      <c r="J20" s="521"/>
      <c r="K20" s="521"/>
      <c r="L20" s="521"/>
      <c r="M20" s="521"/>
      <c r="N20" s="723"/>
    </row>
    <row r="21" spans="1:14" hidden="1" x14ac:dyDescent="0.25">
      <c r="A21" s="318"/>
      <c r="B21" s="318"/>
      <c r="C21" s="410"/>
      <c r="D21" s="457"/>
      <c r="E21" s="404"/>
      <c r="F21" s="404"/>
      <c r="G21" s="722"/>
      <c r="H21" s="521"/>
      <c r="I21" s="521"/>
      <c r="J21" s="521"/>
      <c r="K21" s="521"/>
      <c r="L21" s="521"/>
      <c r="M21" s="521"/>
      <c r="N21" s="723"/>
    </row>
    <row r="22" spans="1:14" hidden="1" x14ac:dyDescent="0.25">
      <c r="A22" s="320"/>
      <c r="B22" s="320"/>
      <c r="C22" s="410"/>
      <c r="D22" s="457"/>
      <c r="E22" s="404"/>
      <c r="F22" s="404"/>
      <c r="G22" s="722"/>
      <c r="H22" s="521"/>
      <c r="I22" s="521"/>
      <c r="J22" s="521"/>
      <c r="K22" s="521"/>
      <c r="L22" s="521"/>
      <c r="M22" s="521"/>
      <c r="N22" s="723"/>
    </row>
    <row r="23" spans="1:14" hidden="1" x14ac:dyDescent="0.25">
      <c r="A23" s="318"/>
      <c r="B23" s="318"/>
      <c r="C23" s="410"/>
      <c r="D23" s="457"/>
      <c r="E23" s="404"/>
      <c r="F23" s="404"/>
      <c r="G23" s="722"/>
      <c r="H23" s="521"/>
      <c r="I23" s="521"/>
      <c r="J23" s="521"/>
      <c r="K23" s="521"/>
      <c r="L23" s="521"/>
      <c r="M23" s="521"/>
      <c r="N23" s="723"/>
    </row>
    <row r="24" spans="1:14" hidden="1" x14ac:dyDescent="0.25">
      <c r="A24" s="320"/>
      <c r="B24" s="320"/>
      <c r="C24" s="410"/>
      <c r="D24" s="457"/>
      <c r="E24" s="404"/>
      <c r="F24" s="404"/>
      <c r="G24" s="722"/>
      <c r="H24" s="521"/>
      <c r="I24" s="521"/>
      <c r="J24" s="521"/>
      <c r="K24" s="521"/>
      <c r="L24" s="521"/>
      <c r="M24" s="521"/>
      <c r="N24" s="723"/>
    </row>
    <row r="25" spans="1:14" hidden="1" x14ac:dyDescent="0.25">
      <c r="A25" s="318"/>
      <c r="B25" s="318"/>
      <c r="C25" s="410"/>
      <c r="D25" s="457"/>
      <c r="E25" s="404"/>
      <c r="F25" s="404"/>
      <c r="G25" s="722"/>
      <c r="H25" s="521"/>
      <c r="I25" s="521"/>
      <c r="J25" s="521"/>
      <c r="K25" s="521"/>
      <c r="L25" s="521"/>
      <c r="M25" s="521"/>
      <c r="N25" s="723"/>
    </row>
    <row r="26" spans="1:14" hidden="1" x14ac:dyDescent="0.25">
      <c r="A26" s="320"/>
      <c r="B26" s="320"/>
      <c r="C26" s="410"/>
      <c r="D26" s="457"/>
      <c r="E26" s="404"/>
      <c r="F26" s="404"/>
      <c r="G26" s="722"/>
      <c r="H26" s="521"/>
      <c r="I26" s="521"/>
      <c r="J26" s="521"/>
      <c r="K26" s="521"/>
      <c r="L26" s="521"/>
      <c r="M26" s="521"/>
      <c r="N26" s="723"/>
    </row>
    <row r="27" spans="1:14" x14ac:dyDescent="0.25">
      <c r="A27" s="715"/>
      <c r="B27" s="715"/>
      <c r="C27" s="410"/>
      <c r="D27" s="457"/>
      <c r="E27" s="404"/>
      <c r="F27" s="404"/>
      <c r="G27" s="722"/>
      <c r="H27" s="521"/>
      <c r="I27" s="521"/>
      <c r="J27" s="521"/>
      <c r="K27" s="521"/>
      <c r="L27" s="521"/>
      <c r="M27" s="521"/>
      <c r="N27" s="723"/>
    </row>
    <row r="28" spans="1:14" x14ac:dyDescent="0.25">
      <c r="A28" s="716" t="s">
        <v>252</v>
      </c>
      <c r="B28" s="716" t="s">
        <v>7</v>
      </c>
      <c r="C28" s="735">
        <f>D28+J28</f>
        <v>597788.64280000003</v>
      </c>
      <c r="D28" s="736">
        <f>G28-H28</f>
        <v>554100</v>
      </c>
      <c r="E28" s="737">
        <f>F28+N28</f>
        <v>570643.91009999998</v>
      </c>
      <c r="F28" s="737">
        <f>K28-L28</f>
        <v>571100</v>
      </c>
      <c r="G28" s="724">
        <v>602000</v>
      </c>
      <c r="H28" s="725">
        <v>47900</v>
      </c>
      <c r="I28" s="725">
        <v>554100</v>
      </c>
      <c r="J28" s="725">
        <v>43688.642800000001</v>
      </c>
      <c r="K28" s="725">
        <v>603000</v>
      </c>
      <c r="L28" s="725">
        <v>31900</v>
      </c>
      <c r="M28" s="725">
        <v>571100</v>
      </c>
      <c r="N28" s="726">
        <v>-456.0899</v>
      </c>
    </row>
    <row r="29" spans="1:14" x14ac:dyDescent="0.25">
      <c r="A29" s="716" t="s">
        <v>251</v>
      </c>
      <c r="B29" s="716" t="s">
        <v>14</v>
      </c>
      <c r="C29" s="735">
        <f>D29+J29</f>
        <v>1328850.9277999999</v>
      </c>
      <c r="D29" s="736">
        <f>G29-H29</f>
        <v>1367970</v>
      </c>
      <c r="E29" s="737">
        <f>F29+N29</f>
        <v>1125423.1776000001</v>
      </c>
      <c r="F29" s="737">
        <f>K29-L29</f>
        <v>1267970</v>
      </c>
      <c r="G29" s="724">
        <v>1370000</v>
      </c>
      <c r="H29" s="725">
        <v>2030</v>
      </c>
      <c r="I29" s="725">
        <v>1367970</v>
      </c>
      <c r="J29" s="725">
        <v>-39119.072200000002</v>
      </c>
      <c r="K29" s="725">
        <v>1270000</v>
      </c>
      <c r="L29" s="725">
        <v>2030</v>
      </c>
      <c r="M29" s="725">
        <v>1267970</v>
      </c>
      <c r="N29" s="726">
        <v>-142546.8224</v>
      </c>
    </row>
    <row r="30" spans="1:14" x14ac:dyDescent="0.25">
      <c r="A30" s="716" t="s">
        <v>248</v>
      </c>
      <c r="B30" s="716" t="s">
        <v>10</v>
      </c>
      <c r="C30" s="735">
        <f>D30+J30</f>
        <v>537163.33330000006</v>
      </c>
      <c r="D30" s="736">
        <f>G30-H30</f>
        <v>580430</v>
      </c>
      <c r="E30" s="737">
        <f>F30+N30</f>
        <v>586030</v>
      </c>
      <c r="F30" s="737">
        <f>K30-L30</f>
        <v>634430</v>
      </c>
      <c r="G30" s="724">
        <v>583000</v>
      </c>
      <c r="H30" s="725">
        <v>2570</v>
      </c>
      <c r="I30" s="725">
        <v>580430</v>
      </c>
      <c r="J30" s="725">
        <v>-43266.666700000002</v>
      </c>
      <c r="K30" s="725">
        <v>637000</v>
      </c>
      <c r="L30" s="725">
        <v>2570</v>
      </c>
      <c r="M30" s="725">
        <v>634430</v>
      </c>
      <c r="N30" s="726">
        <v>-48400</v>
      </c>
    </row>
    <row r="31" spans="1:14" hidden="1" x14ac:dyDescent="0.25">
      <c r="A31" s="318"/>
      <c r="B31" s="318"/>
      <c r="C31" s="410"/>
      <c r="D31" s="457"/>
      <c r="E31" s="404"/>
      <c r="F31" s="404"/>
      <c r="G31" s="722"/>
      <c r="H31" s="521"/>
      <c r="I31" s="521"/>
      <c r="J31" s="521"/>
      <c r="K31" s="521"/>
      <c r="L31" s="521"/>
      <c r="M31" s="521"/>
      <c r="N31" s="723"/>
    </row>
    <row r="32" spans="1:14" hidden="1" x14ac:dyDescent="0.25">
      <c r="A32" s="320"/>
      <c r="B32" s="320"/>
      <c r="C32" s="410"/>
      <c r="D32" s="457"/>
      <c r="E32" s="404"/>
      <c r="F32" s="404"/>
      <c r="G32" s="722"/>
      <c r="H32" s="521"/>
      <c r="I32" s="521"/>
      <c r="J32" s="521"/>
      <c r="K32" s="521"/>
      <c r="L32" s="521"/>
      <c r="M32" s="521"/>
      <c r="N32" s="723"/>
    </row>
    <row r="33" spans="1:14" x14ac:dyDescent="0.25">
      <c r="A33" s="715"/>
      <c r="B33" s="715"/>
      <c r="C33" s="410"/>
      <c r="D33" s="457"/>
      <c r="E33" s="404"/>
      <c r="F33" s="404"/>
      <c r="G33" s="722"/>
      <c r="H33" s="521"/>
      <c r="I33" s="521"/>
      <c r="J33" s="521"/>
      <c r="K33" s="521"/>
      <c r="L33" s="521"/>
      <c r="M33" s="521"/>
      <c r="N33" s="723"/>
    </row>
    <row r="34" spans="1:14" hidden="1" x14ac:dyDescent="0.25">
      <c r="A34" s="320"/>
      <c r="B34" s="320"/>
      <c r="C34" s="410"/>
      <c r="D34" s="457"/>
      <c r="E34" s="404"/>
      <c r="F34" s="404"/>
      <c r="G34" s="722"/>
      <c r="H34" s="521"/>
      <c r="I34" s="521"/>
      <c r="J34" s="521"/>
      <c r="K34" s="521"/>
      <c r="L34" s="521"/>
      <c r="M34" s="521"/>
      <c r="N34" s="723"/>
    </row>
    <row r="35" spans="1:14" hidden="1" x14ac:dyDescent="0.25">
      <c r="A35" s="318"/>
      <c r="B35" s="318"/>
      <c r="C35" s="410"/>
      <c r="D35" s="457"/>
      <c r="E35" s="404"/>
      <c r="F35" s="404"/>
      <c r="G35" s="722"/>
      <c r="H35" s="521"/>
      <c r="I35" s="521"/>
      <c r="J35" s="521"/>
      <c r="K35" s="521"/>
      <c r="L35" s="521"/>
      <c r="M35" s="521"/>
      <c r="N35" s="723"/>
    </row>
    <row r="36" spans="1:14" hidden="1" x14ac:dyDescent="0.25">
      <c r="A36" s="320"/>
      <c r="B36" s="320"/>
      <c r="C36" s="410"/>
      <c r="D36" s="457"/>
      <c r="E36" s="404"/>
      <c r="F36" s="404"/>
      <c r="G36" s="722"/>
      <c r="H36" s="521"/>
      <c r="I36" s="521"/>
      <c r="J36" s="521"/>
      <c r="K36" s="521"/>
      <c r="L36" s="521"/>
      <c r="M36" s="521"/>
      <c r="N36" s="723"/>
    </row>
    <row r="37" spans="1:14" x14ac:dyDescent="0.25">
      <c r="A37" s="716" t="s">
        <v>221</v>
      </c>
      <c r="B37" s="716" t="s">
        <v>11</v>
      </c>
      <c r="C37" s="735">
        <f>D37+J37</f>
        <v>7675183.3321000002</v>
      </c>
      <c r="D37" s="736">
        <f>G37-H37</f>
        <v>8015000</v>
      </c>
      <c r="E37" s="737">
        <f>F37+N37</f>
        <v>10658829.1954</v>
      </c>
      <c r="F37" s="737">
        <f>K37-L37</f>
        <v>11055000</v>
      </c>
      <c r="G37" s="724">
        <v>8160000</v>
      </c>
      <c r="H37" s="725">
        <v>145000</v>
      </c>
      <c r="I37" s="725">
        <v>8015000</v>
      </c>
      <c r="J37" s="725">
        <v>-339816.6679</v>
      </c>
      <c r="K37" s="725">
        <v>11200000</v>
      </c>
      <c r="L37" s="725">
        <v>145000</v>
      </c>
      <c r="M37" s="725">
        <v>11055000</v>
      </c>
      <c r="N37" s="726">
        <v>-396170.80459999997</v>
      </c>
    </row>
    <row r="38" spans="1:14" x14ac:dyDescent="0.25">
      <c r="A38" s="716" t="s">
        <v>218</v>
      </c>
      <c r="B38" s="716" t="s">
        <v>4</v>
      </c>
      <c r="C38" s="735">
        <f>D38+J38</f>
        <v>2265976.7086</v>
      </c>
      <c r="D38" s="736">
        <f>G38-H38</f>
        <v>2432000</v>
      </c>
      <c r="E38" s="737">
        <f>F38+N38</f>
        <v>2988842.9238999998</v>
      </c>
      <c r="F38" s="737">
        <f>K38-L38</f>
        <v>3116000</v>
      </c>
      <c r="G38" s="724">
        <v>3250000</v>
      </c>
      <c r="H38" s="725">
        <v>818000</v>
      </c>
      <c r="I38" s="725">
        <v>2432000</v>
      </c>
      <c r="J38" s="725">
        <v>-166023.29139999999</v>
      </c>
      <c r="K38" s="725">
        <v>3850000</v>
      </c>
      <c r="L38" s="725">
        <v>734000</v>
      </c>
      <c r="M38" s="725">
        <v>3116000</v>
      </c>
      <c r="N38" s="726">
        <v>-127157.07610000001</v>
      </c>
    </row>
    <row r="39" spans="1:14" x14ac:dyDescent="0.25">
      <c r="A39" s="716" t="s">
        <v>216</v>
      </c>
      <c r="B39" s="716" t="s">
        <v>6</v>
      </c>
      <c r="C39" s="735">
        <f>D39+J39</f>
        <v>1830954.0314</v>
      </c>
      <c r="D39" s="736">
        <f>G39-H39</f>
        <v>730000</v>
      </c>
      <c r="E39" s="737">
        <f>F39+N39</f>
        <v>2147918.9114999999</v>
      </c>
      <c r="F39" s="737">
        <f>K39-L39</f>
        <v>850000</v>
      </c>
      <c r="G39" s="724">
        <v>1680000</v>
      </c>
      <c r="H39" s="725">
        <v>950000</v>
      </c>
      <c r="I39" s="725">
        <v>730000</v>
      </c>
      <c r="J39" s="725">
        <v>1100954.0314</v>
      </c>
      <c r="K39" s="725">
        <v>2070000</v>
      </c>
      <c r="L39" s="725">
        <v>1220000</v>
      </c>
      <c r="M39" s="725">
        <v>850000</v>
      </c>
      <c r="N39" s="726">
        <v>1297918.9114999999</v>
      </c>
    </row>
    <row r="40" spans="1:14" hidden="1" x14ac:dyDescent="0.25">
      <c r="A40" s="320"/>
      <c r="B40" s="320"/>
      <c r="C40" s="410"/>
      <c r="D40" s="457"/>
      <c r="E40" s="404"/>
      <c r="F40" s="404"/>
      <c r="G40" s="722"/>
      <c r="H40" s="521"/>
      <c r="I40" s="521"/>
      <c r="J40" s="521"/>
      <c r="K40" s="521"/>
      <c r="L40" s="521"/>
      <c r="M40" s="521"/>
      <c r="N40" s="723"/>
    </row>
    <row r="41" spans="1:14" hidden="1" x14ac:dyDescent="0.25">
      <c r="A41" s="318"/>
      <c r="B41" s="318"/>
      <c r="C41" s="410"/>
      <c r="D41" s="457"/>
      <c r="E41" s="404"/>
      <c r="F41" s="404"/>
      <c r="G41" s="722"/>
      <c r="H41" s="521"/>
      <c r="I41" s="521"/>
      <c r="J41" s="521"/>
      <c r="K41" s="521"/>
      <c r="L41" s="521"/>
      <c r="M41" s="521"/>
      <c r="N41" s="723"/>
    </row>
    <row r="42" spans="1:14" hidden="1" x14ac:dyDescent="0.25">
      <c r="A42" s="320"/>
      <c r="B42" s="320"/>
      <c r="C42" s="410"/>
      <c r="D42" s="457"/>
      <c r="E42" s="404"/>
      <c r="F42" s="404"/>
      <c r="G42" s="722"/>
      <c r="H42" s="521"/>
      <c r="I42" s="521"/>
      <c r="J42" s="521"/>
      <c r="K42" s="521"/>
      <c r="L42" s="521"/>
      <c r="M42" s="521"/>
      <c r="N42" s="723"/>
    </row>
    <row r="43" spans="1:14" hidden="1" x14ac:dyDescent="0.25">
      <c r="A43" s="318"/>
      <c r="B43" s="318"/>
      <c r="C43" s="410"/>
      <c r="D43" s="457"/>
      <c r="E43" s="404"/>
      <c r="F43" s="404"/>
      <c r="G43" s="722"/>
      <c r="H43" s="521"/>
      <c r="I43" s="521"/>
      <c r="J43" s="521"/>
      <c r="K43" s="521"/>
      <c r="L43" s="521"/>
      <c r="M43" s="521"/>
      <c r="N43" s="723"/>
    </row>
    <row r="44" spans="1:14" hidden="1" x14ac:dyDescent="0.25">
      <c r="A44" s="320"/>
      <c r="B44" s="320"/>
      <c r="C44" s="410"/>
      <c r="D44" s="457"/>
      <c r="E44" s="404"/>
      <c r="F44" s="404"/>
      <c r="G44" s="722"/>
      <c r="H44" s="521"/>
      <c r="I44" s="521"/>
      <c r="J44" s="521"/>
      <c r="K44" s="521"/>
      <c r="L44" s="521"/>
      <c r="M44" s="521"/>
      <c r="N44" s="723"/>
    </row>
    <row r="45" spans="1:14" x14ac:dyDescent="0.25">
      <c r="A45" s="715"/>
      <c r="B45" s="715"/>
      <c r="C45" s="410"/>
      <c r="D45" s="457"/>
      <c r="E45" s="404"/>
      <c r="F45" s="404"/>
      <c r="G45" s="722"/>
      <c r="H45" s="521"/>
      <c r="I45" s="521"/>
      <c r="J45" s="521"/>
      <c r="K45" s="521"/>
      <c r="L45" s="521"/>
      <c r="M45" s="521"/>
      <c r="N45" s="723"/>
    </row>
    <row r="46" spans="1:14" hidden="1" x14ac:dyDescent="0.25">
      <c r="A46" s="320"/>
      <c r="B46" s="320"/>
      <c r="C46" s="410"/>
      <c r="D46" s="457"/>
      <c r="E46" s="404"/>
      <c r="F46" s="404"/>
      <c r="G46" s="722"/>
      <c r="H46" s="521"/>
      <c r="I46" s="521"/>
      <c r="J46" s="521"/>
      <c r="K46" s="521"/>
      <c r="L46" s="521"/>
      <c r="M46" s="521"/>
      <c r="N46" s="723"/>
    </row>
    <row r="47" spans="1:14" hidden="1" x14ac:dyDescent="0.25">
      <c r="A47" s="318"/>
      <c r="B47" s="318"/>
      <c r="C47" s="410"/>
      <c r="D47" s="457"/>
      <c r="E47" s="404"/>
      <c r="F47" s="404"/>
      <c r="G47" s="722"/>
      <c r="H47" s="521"/>
      <c r="I47" s="521"/>
      <c r="J47" s="521"/>
      <c r="K47" s="521"/>
      <c r="L47" s="521"/>
      <c r="M47" s="521"/>
      <c r="N47" s="723"/>
    </row>
    <row r="48" spans="1:14" hidden="1" x14ac:dyDescent="0.25">
      <c r="A48" s="320"/>
      <c r="B48" s="320"/>
      <c r="C48" s="410"/>
      <c r="D48" s="457"/>
      <c r="E48" s="404"/>
      <c r="F48" s="404"/>
      <c r="G48" s="722"/>
      <c r="H48" s="521"/>
      <c r="I48" s="521"/>
      <c r="J48" s="521"/>
      <c r="K48" s="521"/>
      <c r="L48" s="521"/>
      <c r="M48" s="521"/>
      <c r="N48" s="723"/>
    </row>
    <row r="49" spans="1:14" hidden="1" x14ac:dyDescent="0.25">
      <c r="A49" s="318"/>
      <c r="B49" s="318"/>
      <c r="C49" s="410"/>
      <c r="D49" s="457"/>
      <c r="E49" s="404"/>
      <c r="F49" s="404"/>
      <c r="G49" s="722"/>
      <c r="H49" s="521"/>
      <c r="I49" s="521"/>
      <c r="J49" s="521"/>
      <c r="K49" s="521"/>
      <c r="L49" s="521"/>
      <c r="M49" s="521"/>
      <c r="N49" s="723"/>
    </row>
    <row r="50" spans="1:14" x14ac:dyDescent="0.25">
      <c r="A50" s="716" t="s">
        <v>182</v>
      </c>
      <c r="B50" s="716" t="s">
        <v>181</v>
      </c>
      <c r="C50" s="735">
        <f>D50+J50</f>
        <v>2311206.5877999999</v>
      </c>
      <c r="D50" s="736">
        <f>G50-H50</f>
        <v>2288600</v>
      </c>
      <c r="E50" s="737">
        <f>F50+N50</f>
        <v>2226978.2574999998</v>
      </c>
      <c r="F50" s="737">
        <f>K50-L50</f>
        <v>2370000</v>
      </c>
      <c r="G50" s="724">
        <v>2300000</v>
      </c>
      <c r="H50" s="725">
        <v>11400</v>
      </c>
      <c r="I50" s="725">
        <v>2288600</v>
      </c>
      <c r="J50" s="725">
        <v>22606.587800000001</v>
      </c>
      <c r="K50" s="725">
        <v>2370000</v>
      </c>
      <c r="L50" s="725">
        <v>0</v>
      </c>
      <c r="M50" s="725">
        <v>2370000</v>
      </c>
      <c r="N50" s="726">
        <v>-143021.74249999999</v>
      </c>
    </row>
    <row r="51" spans="1:14" hidden="1" x14ac:dyDescent="0.25">
      <c r="A51" s="318"/>
      <c r="B51" s="318"/>
      <c r="C51" s="410"/>
      <c r="D51" s="457"/>
      <c r="E51" s="404"/>
      <c r="F51" s="404"/>
      <c r="G51" s="722"/>
      <c r="H51" s="521"/>
      <c r="I51" s="521"/>
      <c r="J51" s="521"/>
      <c r="K51" s="521"/>
      <c r="L51" s="521"/>
      <c r="M51" s="521"/>
      <c r="N51" s="723"/>
    </row>
    <row r="52" spans="1:14" hidden="1" x14ac:dyDescent="0.25">
      <c r="A52" s="320"/>
      <c r="B52" s="320"/>
      <c r="C52" s="410"/>
      <c r="D52" s="457"/>
      <c r="E52" s="404"/>
      <c r="F52" s="404"/>
      <c r="G52" s="722"/>
      <c r="H52" s="521"/>
      <c r="I52" s="521"/>
      <c r="J52" s="521"/>
      <c r="K52" s="521"/>
      <c r="L52" s="521"/>
      <c r="M52" s="521"/>
      <c r="N52" s="723"/>
    </row>
    <row r="53" spans="1:14" x14ac:dyDescent="0.25">
      <c r="A53" s="715"/>
      <c r="B53" s="715"/>
      <c r="C53" s="410"/>
      <c r="D53" s="457"/>
      <c r="E53" s="404"/>
      <c r="F53" s="404"/>
      <c r="G53" s="722"/>
      <c r="H53" s="521"/>
      <c r="I53" s="521"/>
      <c r="J53" s="521"/>
      <c r="K53" s="521"/>
      <c r="L53" s="521"/>
      <c r="M53" s="521"/>
      <c r="N53" s="723"/>
    </row>
    <row r="54" spans="1:14" hidden="1" x14ac:dyDescent="0.25">
      <c r="A54" s="320"/>
      <c r="B54" s="320"/>
      <c r="C54" s="410"/>
      <c r="D54" s="457"/>
      <c r="E54" s="404"/>
      <c r="F54" s="404"/>
      <c r="G54" s="722"/>
      <c r="H54" s="521"/>
      <c r="I54" s="521"/>
      <c r="J54" s="521"/>
      <c r="K54" s="521"/>
      <c r="L54" s="521"/>
      <c r="M54" s="521"/>
      <c r="N54" s="723"/>
    </row>
    <row r="55" spans="1:14" hidden="1" x14ac:dyDescent="0.25">
      <c r="A55" s="318"/>
      <c r="B55" s="318"/>
      <c r="C55" s="410"/>
      <c r="D55" s="457"/>
      <c r="E55" s="404"/>
      <c r="F55" s="404"/>
      <c r="G55" s="722"/>
      <c r="H55" s="521"/>
      <c r="I55" s="521"/>
      <c r="J55" s="521"/>
      <c r="K55" s="521"/>
      <c r="L55" s="521"/>
      <c r="M55" s="521"/>
      <c r="N55" s="723"/>
    </row>
    <row r="56" spans="1:14" hidden="1" x14ac:dyDescent="0.25">
      <c r="A56" s="320"/>
      <c r="B56" s="320"/>
      <c r="C56" s="410"/>
      <c r="D56" s="457"/>
      <c r="E56" s="404"/>
      <c r="F56" s="404"/>
      <c r="G56" s="722"/>
      <c r="H56" s="521"/>
      <c r="I56" s="521"/>
      <c r="J56" s="521"/>
      <c r="K56" s="521"/>
      <c r="L56" s="521"/>
      <c r="M56" s="521"/>
      <c r="N56" s="723"/>
    </row>
    <row r="57" spans="1:14" hidden="1" x14ac:dyDescent="0.25">
      <c r="A57" s="318"/>
      <c r="B57" s="318"/>
      <c r="C57" s="410"/>
      <c r="D57" s="457"/>
      <c r="E57" s="404"/>
      <c r="F57" s="404"/>
      <c r="G57" s="722"/>
      <c r="H57" s="521"/>
      <c r="I57" s="521"/>
      <c r="J57" s="521"/>
      <c r="K57" s="521"/>
      <c r="L57" s="521"/>
      <c r="M57" s="521"/>
      <c r="N57" s="723"/>
    </row>
    <row r="58" spans="1:14" x14ac:dyDescent="0.25">
      <c r="A58" s="716" t="s">
        <v>163</v>
      </c>
      <c r="B58" s="716" t="s">
        <v>17</v>
      </c>
      <c r="C58" s="735">
        <f>D58+J58</f>
        <v>487000</v>
      </c>
      <c r="D58" s="736">
        <f>G58-H58</f>
        <v>487000</v>
      </c>
      <c r="E58" s="737">
        <f>F58+N58</f>
        <v>634000</v>
      </c>
      <c r="F58" s="737">
        <f>K58-L58</f>
        <v>634000</v>
      </c>
      <c r="G58" s="724">
        <v>487000</v>
      </c>
      <c r="H58" s="725">
        <v>0</v>
      </c>
      <c r="I58" s="725">
        <v>487000</v>
      </c>
      <c r="J58" s="725">
        <v>0</v>
      </c>
      <c r="K58" s="725">
        <v>634000</v>
      </c>
      <c r="L58" s="725">
        <v>0</v>
      </c>
      <c r="M58" s="725">
        <v>634000</v>
      </c>
      <c r="N58" s="726">
        <v>0</v>
      </c>
    </row>
    <row r="59" spans="1:14" x14ac:dyDescent="0.25">
      <c r="A59" s="716" t="s">
        <v>162</v>
      </c>
      <c r="B59" s="716" t="s">
        <v>21</v>
      </c>
      <c r="C59" s="735">
        <f>D59+J59</f>
        <v>315195.38069999998</v>
      </c>
      <c r="D59" s="736">
        <f>G59-H59</f>
        <v>345100</v>
      </c>
      <c r="E59" s="737">
        <f>F59+N59</f>
        <v>365167.3235</v>
      </c>
      <c r="F59" s="737">
        <f>K59-L59</f>
        <v>420100</v>
      </c>
      <c r="G59" s="724">
        <v>397000</v>
      </c>
      <c r="H59" s="725">
        <v>51900</v>
      </c>
      <c r="I59" s="725">
        <v>345100</v>
      </c>
      <c r="J59" s="725">
        <v>-29904.619299999998</v>
      </c>
      <c r="K59" s="725">
        <v>472000</v>
      </c>
      <c r="L59" s="725">
        <v>51900</v>
      </c>
      <c r="M59" s="725">
        <v>420100</v>
      </c>
      <c r="N59" s="726">
        <v>-54932.676500000001</v>
      </c>
    </row>
    <row r="60" spans="1:14" x14ac:dyDescent="0.25">
      <c r="A60" s="715"/>
      <c r="B60" s="715"/>
      <c r="C60" s="410"/>
      <c r="D60" s="457"/>
      <c r="E60" s="404"/>
      <c r="F60" s="404"/>
      <c r="G60" s="722"/>
      <c r="H60" s="521"/>
      <c r="I60" s="521"/>
      <c r="J60" s="521"/>
      <c r="K60" s="521"/>
      <c r="L60" s="521"/>
      <c r="M60" s="521"/>
      <c r="N60" s="723"/>
    </row>
    <row r="61" spans="1:14" hidden="1" x14ac:dyDescent="0.25">
      <c r="A61" s="318"/>
      <c r="B61" s="318"/>
      <c r="C61" s="410"/>
      <c r="D61" s="457"/>
      <c r="E61" s="404"/>
      <c r="F61" s="404"/>
      <c r="G61" s="722"/>
      <c r="H61" s="521"/>
      <c r="I61" s="521"/>
      <c r="J61" s="521"/>
      <c r="K61" s="521"/>
      <c r="L61" s="521"/>
      <c r="M61" s="521"/>
      <c r="N61" s="723"/>
    </row>
    <row r="62" spans="1:14" hidden="1" x14ac:dyDescent="0.25">
      <c r="A62" s="320"/>
      <c r="B62" s="320"/>
      <c r="C62" s="410"/>
      <c r="D62" s="457"/>
      <c r="E62" s="404"/>
      <c r="F62" s="404"/>
      <c r="G62" s="722"/>
      <c r="H62" s="521"/>
      <c r="I62" s="521"/>
      <c r="J62" s="521"/>
      <c r="K62" s="521"/>
      <c r="L62" s="521"/>
      <c r="M62" s="521"/>
      <c r="N62" s="723"/>
    </row>
    <row r="63" spans="1:14" hidden="1" x14ac:dyDescent="0.25">
      <c r="A63" s="318"/>
      <c r="B63" s="318"/>
      <c r="C63" s="410"/>
      <c r="D63" s="457"/>
      <c r="E63" s="404"/>
      <c r="F63" s="404"/>
      <c r="G63" s="722"/>
      <c r="H63" s="521"/>
      <c r="I63" s="521"/>
      <c r="J63" s="521"/>
      <c r="K63" s="521"/>
      <c r="L63" s="521"/>
      <c r="M63" s="521"/>
      <c r="N63" s="723"/>
    </row>
    <row r="64" spans="1:14" hidden="1" x14ac:dyDescent="0.25">
      <c r="A64" s="320"/>
      <c r="B64" s="320"/>
      <c r="C64" s="410"/>
      <c r="D64" s="457"/>
      <c r="E64" s="404"/>
      <c r="F64" s="404"/>
      <c r="G64" s="722"/>
      <c r="H64" s="521"/>
      <c r="I64" s="521"/>
      <c r="J64" s="521"/>
      <c r="K64" s="521"/>
      <c r="L64" s="521"/>
      <c r="M64" s="521"/>
      <c r="N64" s="723"/>
    </row>
    <row r="65" spans="1:14" hidden="1" x14ac:dyDescent="0.25">
      <c r="A65" s="318"/>
      <c r="B65" s="318"/>
      <c r="C65" s="410"/>
      <c r="D65" s="457"/>
      <c r="E65" s="404"/>
      <c r="F65" s="404"/>
      <c r="G65" s="722"/>
      <c r="H65" s="521"/>
      <c r="I65" s="521"/>
      <c r="J65" s="521"/>
      <c r="K65" s="521"/>
      <c r="L65" s="521"/>
      <c r="M65" s="521"/>
      <c r="N65" s="723"/>
    </row>
    <row r="66" spans="1:14" hidden="1" x14ac:dyDescent="0.25">
      <c r="A66" s="320"/>
      <c r="B66" s="320"/>
      <c r="C66" s="410"/>
      <c r="D66" s="457"/>
      <c r="E66" s="404"/>
      <c r="F66" s="404"/>
      <c r="G66" s="722"/>
      <c r="H66" s="521"/>
      <c r="I66" s="521"/>
      <c r="J66" s="521"/>
      <c r="K66" s="521"/>
      <c r="L66" s="521"/>
      <c r="M66" s="521"/>
      <c r="N66" s="723"/>
    </row>
    <row r="67" spans="1:14" hidden="1" x14ac:dyDescent="0.25">
      <c r="A67" s="318"/>
      <c r="B67" s="318"/>
      <c r="C67" s="410"/>
      <c r="D67" s="457"/>
      <c r="E67" s="404"/>
      <c r="F67" s="404"/>
      <c r="G67" s="722"/>
      <c r="H67" s="521"/>
      <c r="I67" s="521"/>
      <c r="J67" s="521"/>
      <c r="K67" s="521"/>
      <c r="L67" s="521"/>
      <c r="M67" s="521"/>
      <c r="N67" s="723"/>
    </row>
    <row r="68" spans="1:14" hidden="1" x14ac:dyDescent="0.25">
      <c r="A68" s="320"/>
      <c r="B68" s="320"/>
      <c r="C68" s="410"/>
      <c r="D68" s="457"/>
      <c r="E68" s="404"/>
      <c r="F68" s="404"/>
      <c r="G68" s="722"/>
      <c r="H68" s="521"/>
      <c r="I68" s="521"/>
      <c r="J68" s="521"/>
      <c r="K68" s="521"/>
      <c r="L68" s="521"/>
      <c r="M68" s="521"/>
      <c r="N68" s="723"/>
    </row>
    <row r="69" spans="1:14" hidden="1" x14ac:dyDescent="0.25">
      <c r="A69" s="318"/>
      <c r="B69" s="318"/>
      <c r="C69" s="410"/>
      <c r="D69" s="457"/>
      <c r="E69" s="404"/>
      <c r="F69" s="404"/>
      <c r="G69" s="722"/>
      <c r="H69" s="521"/>
      <c r="I69" s="521"/>
      <c r="J69" s="521"/>
      <c r="K69" s="521"/>
      <c r="L69" s="521"/>
      <c r="M69" s="521"/>
      <c r="N69" s="723"/>
    </row>
    <row r="70" spans="1:14" hidden="1" x14ac:dyDescent="0.25">
      <c r="A70" s="320"/>
      <c r="B70" s="320"/>
      <c r="C70" s="410"/>
      <c r="D70" s="457"/>
      <c r="E70" s="404"/>
      <c r="F70" s="404"/>
      <c r="G70" s="722"/>
      <c r="H70" s="521"/>
      <c r="I70" s="521"/>
      <c r="J70" s="521"/>
      <c r="K70" s="521"/>
      <c r="L70" s="521"/>
      <c r="M70" s="521"/>
      <c r="N70" s="723"/>
    </row>
    <row r="71" spans="1:14" hidden="1" x14ac:dyDescent="0.25">
      <c r="A71" s="318"/>
      <c r="B71" s="318"/>
      <c r="C71" s="410"/>
      <c r="D71" s="457"/>
      <c r="E71" s="404"/>
      <c r="F71" s="404"/>
      <c r="G71" s="722"/>
      <c r="H71" s="521"/>
      <c r="I71" s="521"/>
      <c r="J71" s="521"/>
      <c r="K71" s="521"/>
      <c r="L71" s="521"/>
      <c r="M71" s="521"/>
      <c r="N71" s="723"/>
    </row>
    <row r="72" spans="1:14" hidden="1" x14ac:dyDescent="0.25">
      <c r="A72" s="320"/>
      <c r="B72" s="320"/>
      <c r="C72" s="410"/>
      <c r="D72" s="457"/>
      <c r="E72" s="404"/>
      <c r="F72" s="404"/>
      <c r="G72" s="722"/>
      <c r="H72" s="521"/>
      <c r="I72" s="521"/>
      <c r="J72" s="521"/>
      <c r="K72" s="521"/>
      <c r="L72" s="521"/>
      <c r="M72" s="521"/>
      <c r="N72" s="723"/>
    </row>
    <row r="73" spans="1:14" hidden="1" x14ac:dyDescent="0.25">
      <c r="A73" s="318"/>
      <c r="B73" s="318"/>
      <c r="C73" s="410"/>
      <c r="D73" s="457"/>
      <c r="E73" s="404"/>
      <c r="F73" s="404"/>
      <c r="G73" s="722"/>
      <c r="H73" s="521"/>
      <c r="I73" s="521"/>
      <c r="J73" s="521"/>
      <c r="K73" s="521"/>
      <c r="L73" s="521"/>
      <c r="M73" s="521"/>
      <c r="N73" s="723"/>
    </row>
    <row r="74" spans="1:14" hidden="1" x14ac:dyDescent="0.25">
      <c r="A74" s="320"/>
      <c r="B74" s="320"/>
      <c r="C74" s="410"/>
      <c r="D74" s="457"/>
      <c r="E74" s="404"/>
      <c r="F74" s="404"/>
      <c r="G74" s="722"/>
      <c r="H74" s="521"/>
      <c r="I74" s="521"/>
      <c r="J74" s="521"/>
      <c r="K74" s="521"/>
      <c r="L74" s="521"/>
      <c r="M74" s="521"/>
      <c r="N74" s="723"/>
    </row>
    <row r="75" spans="1:14" hidden="1" x14ac:dyDescent="0.25">
      <c r="A75" s="318"/>
      <c r="B75" s="318"/>
      <c r="C75" s="410"/>
      <c r="D75" s="457"/>
      <c r="E75" s="404"/>
      <c r="F75" s="404"/>
      <c r="G75" s="722"/>
      <c r="H75" s="521"/>
      <c r="I75" s="521"/>
      <c r="J75" s="521"/>
      <c r="K75" s="521"/>
      <c r="L75" s="521"/>
      <c r="M75" s="521"/>
      <c r="N75" s="723"/>
    </row>
    <row r="76" spans="1:14" hidden="1" x14ac:dyDescent="0.25">
      <c r="A76" s="320"/>
      <c r="B76" s="320"/>
      <c r="C76" s="410"/>
      <c r="D76" s="457"/>
      <c r="E76" s="404"/>
      <c r="F76" s="404"/>
      <c r="G76" s="722"/>
      <c r="H76" s="521"/>
      <c r="I76" s="521"/>
      <c r="J76" s="521"/>
      <c r="K76" s="521"/>
      <c r="L76" s="521"/>
      <c r="M76" s="521"/>
      <c r="N76" s="723"/>
    </row>
    <row r="77" spans="1:14" hidden="1" x14ac:dyDescent="0.25">
      <c r="A77" s="318"/>
      <c r="B77" s="318"/>
      <c r="C77" s="410"/>
      <c r="D77" s="457"/>
      <c r="E77" s="404"/>
      <c r="F77" s="404"/>
      <c r="G77" s="722"/>
      <c r="H77" s="521"/>
      <c r="I77" s="521"/>
      <c r="J77" s="521"/>
      <c r="K77" s="521"/>
      <c r="L77" s="521"/>
      <c r="M77" s="521"/>
      <c r="N77" s="723"/>
    </row>
    <row r="78" spans="1:14" x14ac:dyDescent="0.25">
      <c r="A78" s="716" t="s">
        <v>73</v>
      </c>
      <c r="B78" s="716" t="s">
        <v>19</v>
      </c>
      <c r="C78" s="735">
        <f>D78+J78</f>
        <v>479635.12729999999</v>
      </c>
      <c r="D78" s="736">
        <f>G78-H78</f>
        <v>478461</v>
      </c>
      <c r="E78" s="737">
        <f>F78+N78</f>
        <v>519675.65519999998</v>
      </c>
      <c r="F78" s="737">
        <f>K78-L78</f>
        <v>518526</v>
      </c>
      <c r="G78" s="724">
        <v>479000</v>
      </c>
      <c r="H78" s="725">
        <v>539</v>
      </c>
      <c r="I78" s="725"/>
      <c r="J78" s="725">
        <v>1174.1273000000001</v>
      </c>
      <c r="K78" s="725">
        <v>519000</v>
      </c>
      <c r="L78" s="725">
        <v>474</v>
      </c>
      <c r="M78" s="725"/>
      <c r="N78" s="726">
        <v>1149.6551999999999</v>
      </c>
    </row>
    <row r="79" spans="1:14" hidden="1" x14ac:dyDescent="0.25">
      <c r="A79" s="318"/>
      <c r="B79" s="318"/>
      <c r="C79" s="410"/>
      <c r="D79" s="457"/>
      <c r="E79" s="404"/>
      <c r="F79" s="404"/>
      <c r="G79" s="722"/>
      <c r="H79" s="521"/>
      <c r="I79" s="521"/>
      <c r="J79" s="521"/>
      <c r="K79" s="521"/>
      <c r="L79" s="521"/>
      <c r="M79" s="521"/>
      <c r="N79" s="723"/>
    </row>
    <row r="80" spans="1:14" hidden="1" x14ac:dyDescent="0.25">
      <c r="A80" s="320"/>
      <c r="B80" s="320"/>
      <c r="C80" s="410"/>
      <c r="D80" s="457"/>
      <c r="E80" s="404"/>
      <c r="F80" s="404"/>
      <c r="G80" s="722"/>
      <c r="H80" s="521"/>
      <c r="I80" s="521"/>
      <c r="J80" s="521"/>
      <c r="K80" s="521"/>
      <c r="L80" s="521"/>
      <c r="M80" s="521"/>
      <c r="N80" s="723"/>
    </row>
    <row r="81" spans="1:14" hidden="1" x14ac:dyDescent="0.25">
      <c r="A81" s="318"/>
      <c r="B81" s="318"/>
      <c r="C81" s="410"/>
      <c r="D81" s="457"/>
      <c r="E81" s="404"/>
      <c r="F81" s="404"/>
      <c r="G81" s="722"/>
      <c r="H81" s="521"/>
      <c r="I81" s="521"/>
      <c r="J81" s="521"/>
      <c r="K81" s="521"/>
      <c r="L81" s="521"/>
      <c r="M81" s="521"/>
      <c r="N81" s="723"/>
    </row>
    <row r="82" spans="1:14" x14ac:dyDescent="0.25">
      <c r="A82" s="718" t="s">
        <v>2086</v>
      </c>
      <c r="B82" s="719" t="s">
        <v>329</v>
      </c>
      <c r="C82" s="735">
        <f>D82+J82</f>
        <v>44927726.618500002</v>
      </c>
      <c r="D82" s="736">
        <f>G82-H82</f>
        <v>41090000</v>
      </c>
      <c r="E82" s="737">
        <f>F82+N82</f>
        <v>48015187.519400001</v>
      </c>
      <c r="F82" s="737">
        <f>K82-L82</f>
        <v>45400000</v>
      </c>
      <c r="G82" s="724">
        <v>46800000</v>
      </c>
      <c r="H82" s="725">
        <v>5710000</v>
      </c>
      <c r="I82" s="725">
        <v>41090000</v>
      </c>
      <c r="J82" s="725">
        <v>3837726.6184999999</v>
      </c>
      <c r="K82" s="725">
        <v>50700000</v>
      </c>
      <c r="L82" s="725">
        <v>5300000</v>
      </c>
      <c r="M82" s="725">
        <v>45400000</v>
      </c>
      <c r="N82" s="726">
        <v>2615187.5194000001</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90"/>
  <sheetViews>
    <sheetView workbookViewId="0">
      <selection activeCell="J31" sqref="J31"/>
    </sheetView>
  </sheetViews>
  <sheetFormatPr defaultRowHeight="15" x14ac:dyDescent="0.25"/>
  <cols>
    <col min="1" max="1" width="9.140625" style="534"/>
    <col min="2" max="2" width="31.42578125" style="534" bestFit="1" customWidth="1"/>
    <col min="3" max="3" width="21.28515625" style="534" customWidth="1"/>
    <col min="4" max="5" width="13.28515625" style="534" bestFit="1" customWidth="1"/>
    <col min="6" max="6" width="13.140625" style="534" customWidth="1"/>
    <col min="7" max="7" width="21" style="534" bestFit="1" customWidth="1"/>
    <col min="8" max="8" width="20" style="534" bestFit="1" customWidth="1"/>
    <col min="9" max="16384" width="9.140625" style="534"/>
  </cols>
  <sheetData>
    <row r="1" spans="1:7" x14ac:dyDescent="0.25">
      <c r="A1" s="536" t="s">
        <v>14</v>
      </c>
      <c r="B1" s="1086" t="s">
        <v>2574</v>
      </c>
      <c r="E1" s="534" t="s">
        <v>2513</v>
      </c>
    </row>
    <row r="2" spans="1:7" x14ac:dyDescent="0.25">
      <c r="A2" s="534" t="s">
        <v>684</v>
      </c>
      <c r="B2" s="534" t="s">
        <v>2298</v>
      </c>
      <c r="C2" s="1087">
        <v>2005</v>
      </c>
      <c r="D2" s="1087">
        <v>2013</v>
      </c>
      <c r="E2" s="1087">
        <v>2030</v>
      </c>
      <c r="F2" s="534" t="s">
        <v>2299</v>
      </c>
      <c r="G2" s="534" t="s">
        <v>2300</v>
      </c>
    </row>
    <row r="3" spans="1:7" x14ac:dyDescent="0.25">
      <c r="B3" s="534" t="s">
        <v>2301</v>
      </c>
      <c r="C3" s="2">
        <v>1219</v>
      </c>
      <c r="D3" s="2">
        <v>1235</v>
      </c>
      <c r="E3" s="2">
        <v>927</v>
      </c>
      <c r="F3" s="602">
        <f>E3/C3-1</f>
        <v>-0.23954060705496305</v>
      </c>
      <c r="G3" s="602">
        <f>E3/D3-1</f>
        <v>-0.24939271255060724</v>
      </c>
    </row>
    <row r="4" spans="1:7" x14ac:dyDescent="0.25">
      <c r="B4" s="534" t="s">
        <v>2302</v>
      </c>
      <c r="C4" s="2">
        <v>85.4</v>
      </c>
      <c r="D4" s="2">
        <v>75.900000000000006</v>
      </c>
      <c r="E4" s="2">
        <v>70.8</v>
      </c>
      <c r="F4" s="602">
        <f>E4/C4-1</f>
        <v>-0.17096018735363006</v>
      </c>
      <c r="G4" s="602">
        <f>E4/D4-1</f>
        <v>-6.7193675889328119E-2</v>
      </c>
    </row>
    <row r="5" spans="1:7" x14ac:dyDescent="0.25">
      <c r="B5" s="534" t="s">
        <v>2076</v>
      </c>
      <c r="C5" s="2">
        <v>39</v>
      </c>
      <c r="D5" s="2">
        <v>36</v>
      </c>
      <c r="E5" s="2">
        <v>31.6</v>
      </c>
      <c r="F5" s="602">
        <f>E5/C5-1</f>
        <v>-0.18974358974358974</v>
      </c>
      <c r="G5" s="602">
        <f>E5/D5-1</f>
        <v>-0.12222222222222223</v>
      </c>
    </row>
    <row r="6" spans="1:7" x14ac:dyDescent="0.25">
      <c r="B6" s="534" t="s">
        <v>2079</v>
      </c>
      <c r="C6" s="2">
        <v>25.5</v>
      </c>
      <c r="D6" s="2">
        <v>22.5</v>
      </c>
      <c r="E6" s="2">
        <v>21.1</v>
      </c>
      <c r="F6" s="602">
        <f>E6/C6-1</f>
        <v>-0.17254901960784308</v>
      </c>
      <c r="G6" s="602">
        <f>E6/D6-1</f>
        <v>-6.2222222222222179E-2</v>
      </c>
    </row>
    <row r="7" spans="1:7" x14ac:dyDescent="0.25">
      <c r="B7" s="534" t="s">
        <v>2303</v>
      </c>
      <c r="C7" s="2">
        <v>27.7</v>
      </c>
      <c r="D7" s="2">
        <v>38.6</v>
      </c>
      <c r="E7" s="2">
        <v>28.9</v>
      </c>
      <c r="F7" s="602">
        <f>E7/C7-1</f>
        <v>4.3321299638989119E-2</v>
      </c>
      <c r="G7" s="602">
        <f>E7/D7-1</f>
        <v>-0.25129533678756488</v>
      </c>
    </row>
    <row r="8" spans="1:7" x14ac:dyDescent="0.25">
      <c r="B8" s="534" t="s">
        <v>2304</v>
      </c>
      <c r="C8" s="2"/>
      <c r="D8" s="2"/>
      <c r="E8" s="2"/>
      <c r="F8" s="1088"/>
      <c r="G8" s="1088"/>
    </row>
    <row r="10" spans="1:7" x14ac:dyDescent="0.25">
      <c r="B10" s="534" t="s">
        <v>2305</v>
      </c>
      <c r="C10" s="2">
        <f>C3+C4</f>
        <v>1304.4000000000001</v>
      </c>
      <c r="D10" s="2">
        <f>D3+D4</f>
        <v>1310.9</v>
      </c>
      <c r="E10" s="2">
        <f>E3+E4</f>
        <v>997.8</v>
      </c>
      <c r="F10" s="602">
        <f>E10/C10-1</f>
        <v>-0.23505059797608108</v>
      </c>
      <c r="G10" s="602">
        <f>E10/D10-1</f>
        <v>-0.23884354260431773</v>
      </c>
    </row>
    <row r="11" spans="1:7" x14ac:dyDescent="0.25">
      <c r="B11" s="534" t="s">
        <v>2306</v>
      </c>
      <c r="C11" s="2">
        <f>C10+C5+C6+C7</f>
        <v>1396.6000000000001</v>
      </c>
      <c r="D11" s="2">
        <f>D10+D5+D6+D7</f>
        <v>1408</v>
      </c>
      <c r="E11" s="2">
        <f>E10+E5+E6+E7</f>
        <v>1079.3999999999999</v>
      </c>
      <c r="F11" s="602">
        <f>E11/C11-1</f>
        <v>-0.2271230130316485</v>
      </c>
      <c r="G11" s="602">
        <f>E11/D11-1</f>
        <v>-0.23338068181818195</v>
      </c>
    </row>
    <row r="12" spans="1:7" x14ac:dyDescent="0.25">
      <c r="B12" s="534" t="s">
        <v>2307</v>
      </c>
      <c r="C12" s="1089">
        <f>C11</f>
        <v>1396.6000000000001</v>
      </c>
      <c r="D12" s="1089">
        <f>D11</f>
        <v>1408</v>
      </c>
      <c r="E12" s="1089">
        <f>E11-37</f>
        <v>1042.3999999999999</v>
      </c>
      <c r="F12" s="602">
        <f>E12/C12-1</f>
        <v>-0.25361592438779912</v>
      </c>
      <c r="G12" s="602">
        <f>E12/D12-1</f>
        <v>-0.25965909090909101</v>
      </c>
    </row>
    <row r="14" spans="1:7" x14ac:dyDescent="0.25">
      <c r="A14" s="536" t="s">
        <v>11</v>
      </c>
      <c r="B14" s="1086" t="s">
        <v>2308</v>
      </c>
      <c r="C14" s="8" t="s">
        <v>2309</v>
      </c>
    </row>
    <row r="15" spans="1:7" x14ac:dyDescent="0.25">
      <c r="B15" s="13"/>
      <c r="C15" s="536">
        <v>2005</v>
      </c>
      <c r="D15" s="536">
        <v>2005</v>
      </c>
      <c r="E15" s="536">
        <v>2030</v>
      </c>
    </row>
    <row r="16" spans="1:7" x14ac:dyDescent="0.25">
      <c r="C16" s="1087" t="s">
        <v>575</v>
      </c>
      <c r="D16" s="534" t="s">
        <v>1375</v>
      </c>
      <c r="E16" s="534" t="s">
        <v>1375</v>
      </c>
      <c r="F16" s="534" t="s">
        <v>1375</v>
      </c>
    </row>
    <row r="17" spans="1:6" x14ac:dyDescent="0.25">
      <c r="C17" s="1090" t="s">
        <v>2310</v>
      </c>
    </row>
    <row r="18" spans="1:6" x14ac:dyDescent="0.25">
      <c r="A18" s="534" t="s">
        <v>686</v>
      </c>
      <c r="B18" s="534" t="s">
        <v>2311</v>
      </c>
      <c r="C18" s="2">
        <v>540431</v>
      </c>
    </row>
    <row r="19" spans="1:6" x14ac:dyDescent="0.25">
      <c r="B19" s="534" t="s">
        <v>2312</v>
      </c>
      <c r="C19" s="2">
        <v>56860</v>
      </c>
    </row>
    <row r="20" spans="1:6" x14ac:dyDescent="0.25">
      <c r="B20" s="534" t="s">
        <v>2313</v>
      </c>
      <c r="C20" s="2"/>
    </row>
    <row r="21" spans="1:6" x14ac:dyDescent="0.25">
      <c r="B21" s="534" t="s">
        <v>2314</v>
      </c>
      <c r="C21" s="2">
        <v>266</v>
      </c>
    </row>
    <row r="22" spans="1:6" x14ac:dyDescent="0.25">
      <c r="B22" s="534" t="s">
        <v>2304</v>
      </c>
      <c r="C22" s="2">
        <v>-42153</v>
      </c>
    </row>
    <row r="23" spans="1:6" x14ac:dyDescent="0.25">
      <c r="B23" s="534" t="s">
        <v>2315</v>
      </c>
      <c r="C23" s="2">
        <f>SUM(C18:C22)</f>
        <v>555404</v>
      </c>
      <c r="D23" s="2">
        <f>C23/C29</f>
        <v>30032.064973477452</v>
      </c>
      <c r="E23" s="2">
        <f>D23*(1-60%)</f>
        <v>12012.825989390982</v>
      </c>
      <c r="F23" s="2">
        <f>D23*(1-65%)</f>
        <v>10511.222740717109</v>
      </c>
    </row>
    <row r="24" spans="1:6" x14ac:dyDescent="0.25">
      <c r="B24" s="534" t="s">
        <v>2316</v>
      </c>
      <c r="C24" s="2">
        <f>C23-C22</f>
        <v>597557</v>
      </c>
      <c r="D24" s="2">
        <f>C24/C29</f>
        <v>32311.381713772797</v>
      </c>
      <c r="E24" s="2">
        <f>D24*(1-60%)</f>
        <v>12924.552685509119</v>
      </c>
      <c r="F24" s="2">
        <f>D24*(1-65%)</f>
        <v>11308.983599820478</v>
      </c>
    </row>
    <row r="26" spans="1:6" x14ac:dyDescent="0.25">
      <c r="B26" s="534" t="s">
        <v>2317</v>
      </c>
      <c r="C26" s="31">
        <v>8.1943166666666691</v>
      </c>
    </row>
    <row r="27" spans="1:6" x14ac:dyDescent="0.25">
      <c r="C27" s="1091" t="s">
        <v>1376</v>
      </c>
      <c r="D27" s="536" t="s">
        <v>2318</v>
      </c>
    </row>
    <row r="28" spans="1:6" x14ac:dyDescent="0.25">
      <c r="C28" s="13" t="s">
        <v>2319</v>
      </c>
    </row>
    <row r="29" spans="1:6" x14ac:dyDescent="0.25">
      <c r="B29" s="534" t="s">
        <v>2320</v>
      </c>
      <c r="C29" s="1092">
        <v>18.4937</v>
      </c>
    </row>
    <row r="30" spans="1:6" x14ac:dyDescent="0.25">
      <c r="C30" s="13" t="s">
        <v>2321</v>
      </c>
    </row>
    <row r="31" spans="1:6" x14ac:dyDescent="0.25">
      <c r="B31" s="534" t="s">
        <v>2320</v>
      </c>
      <c r="C31" s="1093">
        <f>10^3*C29/C26</f>
        <v>2256.8934973223304</v>
      </c>
      <c r="D31" s="1094">
        <v>2268.5989041162757</v>
      </c>
    </row>
    <row r="33" spans="2:3" x14ac:dyDescent="0.25">
      <c r="B33" s="1086" t="s">
        <v>2322</v>
      </c>
    </row>
    <row r="34" spans="2:3" x14ac:dyDescent="0.25">
      <c r="B34" s="11" t="s">
        <v>2323</v>
      </c>
    </row>
    <row r="35" spans="2:3" x14ac:dyDescent="0.25">
      <c r="B35" s="11" t="s">
        <v>2324</v>
      </c>
    </row>
    <row r="36" spans="2:3" x14ac:dyDescent="0.25">
      <c r="B36" s="11" t="s">
        <v>2325</v>
      </c>
    </row>
    <row r="37" spans="2:3" x14ac:dyDescent="0.25">
      <c r="B37" s="11" t="s">
        <v>2326</v>
      </c>
    </row>
    <row r="38" spans="2:3" x14ac:dyDescent="0.25">
      <c r="B38" s="11" t="s">
        <v>2327</v>
      </c>
    </row>
    <row r="39" spans="2:3" x14ac:dyDescent="0.25">
      <c r="B39" s="534" t="s">
        <v>2322</v>
      </c>
      <c r="C39" s="534" t="s">
        <v>2328</v>
      </c>
    </row>
    <row r="40" spans="2:3" x14ac:dyDescent="0.25">
      <c r="B40" s="536" t="s">
        <v>2329</v>
      </c>
    </row>
    <row r="41" spans="2:3" x14ac:dyDescent="0.25">
      <c r="B41" s="534" t="s">
        <v>2330</v>
      </c>
      <c r="C41" s="1">
        <v>0.38</v>
      </c>
    </row>
    <row r="42" spans="2:3" x14ac:dyDescent="0.25">
      <c r="B42" s="534" t="s">
        <v>2331</v>
      </c>
      <c r="C42" s="1">
        <v>0.38</v>
      </c>
    </row>
    <row r="43" spans="2:3" x14ac:dyDescent="0.25">
      <c r="B43" s="534" t="s">
        <v>2332</v>
      </c>
      <c r="C43" s="1">
        <v>0.38</v>
      </c>
    </row>
    <row r="44" spans="2:3" x14ac:dyDescent="0.25">
      <c r="B44" s="534" t="s">
        <v>2333</v>
      </c>
      <c r="C44" s="1">
        <v>0.38</v>
      </c>
    </row>
    <row r="45" spans="2:3" x14ac:dyDescent="0.25">
      <c r="B45" s="534" t="s">
        <v>2334</v>
      </c>
      <c r="C45" s="1">
        <v>0.38</v>
      </c>
    </row>
    <row r="46" spans="2:3" x14ac:dyDescent="0.25">
      <c r="B46" s="6" t="s">
        <v>2335</v>
      </c>
      <c r="C46" s="1">
        <v>0.38</v>
      </c>
    </row>
    <row r="47" spans="2:3" x14ac:dyDescent="0.25">
      <c r="B47" s="6" t="s">
        <v>2336</v>
      </c>
      <c r="C47" s="1">
        <v>0.38</v>
      </c>
    </row>
    <row r="48" spans="2:3" x14ac:dyDescent="0.25">
      <c r="B48" s="534" t="s">
        <v>2337</v>
      </c>
      <c r="C48" s="1">
        <v>0.38</v>
      </c>
    </row>
    <row r="49" spans="1:8" x14ac:dyDescent="0.25">
      <c r="B49" s="534" t="s">
        <v>2338</v>
      </c>
      <c r="C49" s="1">
        <v>0.38</v>
      </c>
    </row>
    <row r="50" spans="1:8" x14ac:dyDescent="0.25">
      <c r="B50" s="534" t="s">
        <v>2339</v>
      </c>
      <c r="C50" s="1">
        <v>0.38</v>
      </c>
    </row>
    <row r="52" spans="1:8" x14ac:dyDescent="0.25">
      <c r="A52" s="536" t="s">
        <v>4</v>
      </c>
      <c r="B52" s="1086" t="s">
        <v>2340</v>
      </c>
      <c r="C52" s="8" t="s">
        <v>2341</v>
      </c>
    </row>
    <row r="53" spans="1:8" x14ac:dyDescent="0.25">
      <c r="A53" s="534" t="s">
        <v>686</v>
      </c>
      <c r="C53" s="536">
        <v>2005</v>
      </c>
      <c r="D53" s="536">
        <v>2007</v>
      </c>
    </row>
    <row r="54" spans="1:8" x14ac:dyDescent="0.25">
      <c r="C54" s="534" t="s">
        <v>2298</v>
      </c>
      <c r="D54" s="13" t="s">
        <v>2298</v>
      </c>
    </row>
    <row r="55" spans="1:8" x14ac:dyDescent="0.25">
      <c r="B55" s="534" t="s">
        <v>2342</v>
      </c>
      <c r="C55" s="2">
        <v>1433</v>
      </c>
      <c r="D55" s="2">
        <v>1570</v>
      </c>
      <c r="E55" s="2"/>
    </row>
    <row r="56" spans="1:8" x14ac:dyDescent="0.25">
      <c r="B56" s="534" t="s">
        <v>2343</v>
      </c>
      <c r="C56" s="534">
        <v>56.21</v>
      </c>
      <c r="D56" s="534">
        <v>51.28</v>
      </c>
    </row>
    <row r="57" spans="1:8" x14ac:dyDescent="0.25">
      <c r="B57" s="534" t="s">
        <v>2344</v>
      </c>
      <c r="C57" s="1095">
        <f>C55/C56</f>
        <v>25.493684397793988</v>
      </c>
      <c r="D57" s="1095">
        <f>D55/D56</f>
        <v>30.616224648985959</v>
      </c>
      <c r="F57" s="1096"/>
      <c r="G57" s="2"/>
      <c r="H57" s="1095"/>
    </row>
    <row r="58" spans="1:8" x14ac:dyDescent="0.25">
      <c r="B58" s="534" t="s">
        <v>2345</v>
      </c>
      <c r="C58" s="1093">
        <v>834.21469956813985</v>
      </c>
      <c r="D58" s="1094">
        <v>1238.6991700790099</v>
      </c>
    </row>
    <row r="59" spans="1:8" x14ac:dyDescent="0.25">
      <c r="C59" s="2"/>
      <c r="D59" s="2"/>
    </row>
    <row r="60" spans="1:8" x14ac:dyDescent="0.25">
      <c r="A60" s="536" t="s">
        <v>15</v>
      </c>
      <c r="B60" s="534" t="s">
        <v>1943</v>
      </c>
      <c r="C60" s="534" t="s">
        <v>2298</v>
      </c>
      <c r="D60" s="534" t="s">
        <v>2346</v>
      </c>
      <c r="E60" s="534" t="s">
        <v>2347</v>
      </c>
    </row>
    <row r="61" spans="1:8" x14ac:dyDescent="0.25">
      <c r="A61" s="534" t="s">
        <v>2348</v>
      </c>
      <c r="C61" s="534">
        <v>2020</v>
      </c>
      <c r="D61" s="534">
        <v>792</v>
      </c>
      <c r="E61" s="534">
        <v>906</v>
      </c>
    </row>
    <row r="62" spans="1:8" x14ac:dyDescent="0.25">
      <c r="C62" s="534">
        <v>2025</v>
      </c>
      <c r="D62" s="534">
        <v>888</v>
      </c>
      <c r="E62" s="534">
        <v>1013</v>
      </c>
    </row>
    <row r="63" spans="1:8" x14ac:dyDescent="0.25">
      <c r="C63" s="534">
        <v>2030</v>
      </c>
      <c r="D63" s="534">
        <v>973</v>
      </c>
      <c r="E63" s="534">
        <v>1110</v>
      </c>
    </row>
    <row r="65" spans="1:7" x14ac:dyDescent="0.25">
      <c r="A65" s="536" t="s">
        <v>0</v>
      </c>
      <c r="B65" s="534" t="s">
        <v>2349</v>
      </c>
      <c r="C65" s="534" t="s">
        <v>2298</v>
      </c>
      <c r="D65" s="534" t="s">
        <v>2346</v>
      </c>
    </row>
    <row r="66" spans="1:7" x14ac:dyDescent="0.25">
      <c r="A66" s="534" t="s">
        <v>2348</v>
      </c>
      <c r="C66" s="534">
        <v>1990</v>
      </c>
      <c r="D66" s="2">
        <f>1.4*10^3</f>
        <v>1400</v>
      </c>
    </row>
    <row r="67" spans="1:7" x14ac:dyDescent="0.25">
      <c r="C67" s="534">
        <v>2005</v>
      </c>
      <c r="D67" s="2">
        <f>2.1*10^3</f>
        <v>2100</v>
      </c>
    </row>
    <row r="69" spans="1:7" x14ac:dyDescent="0.25">
      <c r="A69" s="536" t="s">
        <v>12</v>
      </c>
      <c r="C69" s="534" t="s">
        <v>2298</v>
      </c>
      <c r="D69" s="534" t="s">
        <v>2346</v>
      </c>
    </row>
    <row r="70" spans="1:7" x14ac:dyDescent="0.25">
      <c r="A70" s="534" t="s">
        <v>686</v>
      </c>
      <c r="C70" s="534">
        <v>2012</v>
      </c>
      <c r="D70" s="534">
        <v>429.43700000000001</v>
      </c>
      <c r="E70" s="534" t="s">
        <v>2350</v>
      </c>
    </row>
    <row r="71" spans="1:7" x14ac:dyDescent="0.25">
      <c r="C71" s="534">
        <v>2030</v>
      </c>
      <c r="D71" s="2">
        <v>670</v>
      </c>
    </row>
    <row r="73" spans="1:7" x14ac:dyDescent="0.25">
      <c r="A73" s="536" t="s">
        <v>10</v>
      </c>
      <c r="C73" s="534" t="s">
        <v>2298</v>
      </c>
      <c r="D73" s="534" t="s">
        <v>2351</v>
      </c>
    </row>
    <row r="74" spans="1:7" x14ac:dyDescent="0.25">
      <c r="A74" s="534" t="s">
        <v>686</v>
      </c>
      <c r="C74" s="534">
        <v>2020</v>
      </c>
      <c r="D74" s="534">
        <v>782.5</v>
      </c>
    </row>
    <row r="75" spans="1:7" x14ac:dyDescent="0.25">
      <c r="C75" s="534">
        <v>2025</v>
      </c>
      <c r="D75" s="2">
        <v>809.7</v>
      </c>
    </row>
    <row r="76" spans="1:7" x14ac:dyDescent="0.25">
      <c r="C76" s="534">
        <v>2030</v>
      </c>
      <c r="D76" s="534">
        <v>850.6</v>
      </c>
    </row>
    <row r="78" spans="1:7" x14ac:dyDescent="0.25">
      <c r="A78" s="536" t="s">
        <v>6</v>
      </c>
      <c r="C78" s="534" t="s">
        <v>2298</v>
      </c>
      <c r="D78" s="534" t="s">
        <v>2346</v>
      </c>
      <c r="E78" s="534" t="s">
        <v>2081</v>
      </c>
      <c r="F78" s="534" t="s">
        <v>589</v>
      </c>
      <c r="G78" s="534" t="s">
        <v>1884</v>
      </c>
    </row>
    <row r="79" spans="1:7" x14ac:dyDescent="0.25">
      <c r="A79" s="534" t="s">
        <v>684</v>
      </c>
      <c r="C79" s="534">
        <v>2000</v>
      </c>
      <c r="D79" s="2">
        <f>D80-400</f>
        <v>1400</v>
      </c>
      <c r="E79" s="2"/>
    </row>
    <row r="80" spans="1:7" x14ac:dyDescent="0.25">
      <c r="C80" s="534">
        <v>2005</v>
      </c>
      <c r="D80" s="2">
        <v>1800</v>
      </c>
      <c r="E80" s="2">
        <f>D80*0.63</f>
        <v>1134</v>
      </c>
      <c r="F80" s="1089">
        <f>D80*0.19</f>
        <v>342</v>
      </c>
      <c r="G80" s="1089">
        <f>D80-E80-F80</f>
        <v>324</v>
      </c>
    </row>
    <row r="81" spans="1:8" x14ac:dyDescent="0.25">
      <c r="C81" s="534">
        <v>2030</v>
      </c>
      <c r="D81" s="2">
        <v>2881</v>
      </c>
      <c r="E81" s="2"/>
    </row>
    <row r="83" spans="1:8" x14ac:dyDescent="0.25">
      <c r="A83" s="536" t="s">
        <v>17</v>
      </c>
    </row>
    <row r="84" spans="1:8" x14ac:dyDescent="0.25">
      <c r="A84" s="534" t="s">
        <v>2352</v>
      </c>
      <c r="B84" s="534" t="s">
        <v>2353</v>
      </c>
      <c r="D84" s="534" t="s">
        <v>2351</v>
      </c>
    </row>
    <row r="85" spans="1:8" x14ac:dyDescent="0.25">
      <c r="B85" s="8" t="s">
        <v>2354</v>
      </c>
      <c r="C85" s="534">
        <v>2030</v>
      </c>
      <c r="D85" s="2">
        <v>1160</v>
      </c>
    </row>
    <row r="86" spans="1:8" x14ac:dyDescent="0.25">
      <c r="B86" s="8" t="s">
        <v>2355</v>
      </c>
    </row>
    <row r="88" spans="1:8" x14ac:dyDescent="0.25">
      <c r="A88" s="536" t="s">
        <v>21</v>
      </c>
      <c r="C88" s="534" t="s">
        <v>2298</v>
      </c>
      <c r="D88" s="534" t="s">
        <v>2346</v>
      </c>
      <c r="E88" s="534" t="s">
        <v>2356</v>
      </c>
      <c r="F88" s="534" t="s">
        <v>2312</v>
      </c>
      <c r="G88" s="534" t="s">
        <v>2357</v>
      </c>
      <c r="H88" s="534" t="s">
        <v>2358</v>
      </c>
    </row>
    <row r="89" spans="1:8" x14ac:dyDescent="0.25">
      <c r="A89" s="534" t="s">
        <v>684</v>
      </c>
      <c r="C89" s="534">
        <v>2012</v>
      </c>
      <c r="D89" s="2">
        <v>440</v>
      </c>
      <c r="E89" s="1097">
        <f>0.7*D89</f>
        <v>308</v>
      </c>
      <c r="F89" s="1097">
        <f>D89*0.143</f>
        <v>62.919999999999995</v>
      </c>
      <c r="G89" s="1098">
        <f>0.082*D89</f>
        <v>36.08</v>
      </c>
      <c r="H89" s="1098">
        <f>0.073*D89</f>
        <v>32.119999999999997</v>
      </c>
    </row>
    <row r="90" spans="1:8" x14ac:dyDescent="0.25">
      <c r="C90" s="534">
        <v>2030</v>
      </c>
      <c r="D90" s="534">
        <v>1175</v>
      </c>
    </row>
  </sheetData>
  <hyperlinks>
    <hyperlink ref="C14" r:id="rId1" xr:uid="{00000000-0004-0000-0E00-000000000000}"/>
    <hyperlink ref="C52" r:id="rId2" xr:uid="{00000000-0004-0000-0E00-000001000000}"/>
    <hyperlink ref="B85" r:id="rId3" xr:uid="{00000000-0004-0000-0E00-000002000000}"/>
    <hyperlink ref="B86" r:id="rId4" xr:uid="{00000000-0004-0000-0E00-000003000000}"/>
  </hyperlinks>
  <pageMargins left="0.7" right="0.7" top="0.75" bottom="0.75" header="0.3" footer="0.3"/>
  <pageSetup paperSize="9" orientation="portrait" r:id="rId5"/>
  <legacyDrawing r:id="rId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45"/>
  <sheetViews>
    <sheetView workbookViewId="0">
      <selection activeCell="A16" sqref="A16"/>
    </sheetView>
  </sheetViews>
  <sheetFormatPr defaultRowHeight="15" x14ac:dyDescent="0.25"/>
  <cols>
    <col min="1" max="1" width="86.140625" style="534" customWidth="1"/>
    <col min="2" max="2" width="28.42578125" style="534" customWidth="1"/>
    <col min="3" max="3" width="39" style="534" customWidth="1"/>
    <col min="4" max="7" width="17.5703125" style="534" bestFit="1" customWidth="1"/>
    <col min="8" max="8" width="9.140625" style="534"/>
    <col min="9" max="9" width="16.5703125" style="534" customWidth="1"/>
    <col min="10" max="16384" width="9.140625" style="534"/>
  </cols>
  <sheetData>
    <row r="1" spans="1:12" x14ac:dyDescent="0.25">
      <c r="J1" s="536" t="s">
        <v>2359</v>
      </c>
    </row>
    <row r="2" spans="1:12" ht="15.75" thickBot="1" x14ac:dyDescent="0.3">
      <c r="J2" s="536">
        <v>2012</v>
      </c>
    </row>
    <row r="3" spans="1:12" ht="15.75" thickBot="1" x14ac:dyDescent="0.3">
      <c r="A3" s="534" t="s">
        <v>2360</v>
      </c>
      <c r="B3" s="1099" t="s">
        <v>2361</v>
      </c>
      <c r="C3" s="1100">
        <v>2010</v>
      </c>
      <c r="D3" s="1100">
        <v>2015</v>
      </c>
      <c r="E3" s="1100">
        <v>2020</v>
      </c>
      <c r="F3" s="1100">
        <v>2030</v>
      </c>
      <c r="G3" s="1100">
        <v>2045</v>
      </c>
      <c r="I3" s="534" t="s">
        <v>2362</v>
      </c>
      <c r="J3" s="534">
        <v>41.063000000000002</v>
      </c>
    </row>
    <row r="4" spans="1:12" ht="15.75" thickBot="1" x14ac:dyDescent="0.3">
      <c r="A4" s="8" t="s">
        <v>2563</v>
      </c>
      <c r="B4" s="1101" t="s">
        <v>2363</v>
      </c>
      <c r="C4" s="1102" t="s">
        <v>2364</v>
      </c>
      <c r="D4" s="1103">
        <v>37.716999999999999</v>
      </c>
      <c r="E4" s="1103">
        <v>47.875999999999998</v>
      </c>
      <c r="F4" s="1103">
        <v>78.204999999999998</v>
      </c>
      <c r="G4" s="1103" t="s">
        <v>2365</v>
      </c>
      <c r="I4" s="534" t="s">
        <v>347</v>
      </c>
      <c r="J4" s="534">
        <v>508.12</v>
      </c>
    </row>
    <row r="5" spans="1:12" ht="15.75" thickBot="1" x14ac:dyDescent="0.3">
      <c r="B5" s="1101" t="s">
        <v>347</v>
      </c>
      <c r="C5" s="1102">
        <v>414.786</v>
      </c>
      <c r="D5" s="1103">
        <v>560.28200000000004</v>
      </c>
      <c r="E5" s="1103">
        <v>806.08100000000002</v>
      </c>
      <c r="F5" s="1103">
        <v>1438.6289999999999</v>
      </c>
      <c r="G5" s="1103">
        <v>1712.2739999999999</v>
      </c>
      <c r="I5" s="534" t="s">
        <v>2357</v>
      </c>
      <c r="J5" s="534">
        <v>97.117000000000004</v>
      </c>
    </row>
    <row r="6" spans="1:12" ht="15.75" thickBot="1" x14ac:dyDescent="0.3">
      <c r="B6" s="1101" t="s">
        <v>2357</v>
      </c>
      <c r="C6" s="1102">
        <v>108.15600000000001</v>
      </c>
      <c r="D6" s="1103">
        <v>133.43199999999999</v>
      </c>
      <c r="E6" s="1103">
        <v>182.02699999999999</v>
      </c>
      <c r="F6" s="1103">
        <v>284.88600000000002</v>
      </c>
      <c r="G6" s="1103">
        <v>491.89699999999999</v>
      </c>
      <c r="I6" s="534" t="s">
        <v>2358</v>
      </c>
      <c r="J6" s="534">
        <v>116.18899999999999</v>
      </c>
    </row>
    <row r="7" spans="1:12" ht="15.75" thickBot="1" x14ac:dyDescent="0.3">
      <c r="B7" s="1101" t="s">
        <v>2366</v>
      </c>
      <c r="C7" s="1102">
        <v>339.80399999999997</v>
      </c>
      <c r="D7" s="1103">
        <v>367.13</v>
      </c>
      <c r="E7" s="1103">
        <v>379.803</v>
      </c>
      <c r="F7" s="1103">
        <v>436.17099999999999</v>
      </c>
      <c r="G7" s="1103">
        <v>625.23500000000001</v>
      </c>
      <c r="I7" s="534" t="s">
        <v>2367</v>
      </c>
      <c r="J7" s="534">
        <v>694.97799999999995</v>
      </c>
    </row>
    <row r="8" spans="1:12" ht="15.75" thickBot="1" x14ac:dyDescent="0.3">
      <c r="B8" s="1101" t="s">
        <v>2368</v>
      </c>
      <c r="C8" s="1102">
        <v>245.411</v>
      </c>
      <c r="D8" s="1103">
        <v>249.54599999999999</v>
      </c>
      <c r="E8" s="1103">
        <v>251.09299999999999</v>
      </c>
      <c r="F8" s="1103">
        <v>254.047</v>
      </c>
      <c r="G8" s="1103">
        <v>257.23</v>
      </c>
    </row>
    <row r="9" spans="1:12" ht="15.75" thickBot="1" x14ac:dyDescent="0.3">
      <c r="B9" s="1101" t="s">
        <v>2369</v>
      </c>
      <c r="C9" s="1102">
        <v>314.46699999999998</v>
      </c>
      <c r="D9" s="1103">
        <v>288.44499999999999</v>
      </c>
      <c r="E9" s="1103">
        <v>137.17099999999999</v>
      </c>
      <c r="F9" s="1103">
        <v>385.709</v>
      </c>
      <c r="G9" s="1103">
        <v>266.99799999999999</v>
      </c>
    </row>
    <row r="10" spans="1:12" ht="15.75" thickBot="1" x14ac:dyDescent="0.3">
      <c r="B10" s="1104" t="s">
        <v>2370</v>
      </c>
      <c r="C10" s="1105" t="s">
        <v>2371</v>
      </c>
      <c r="D10" s="1106">
        <v>1348.107</v>
      </c>
      <c r="E10" s="1106">
        <v>1666.88</v>
      </c>
      <c r="F10" s="1106">
        <v>2491.9380000000001</v>
      </c>
      <c r="G10" s="1106" t="s">
        <v>2372</v>
      </c>
    </row>
    <row r="11" spans="1:12" ht="15.75" thickBot="1" x14ac:dyDescent="0.3">
      <c r="B11" s="1104" t="s">
        <v>2373</v>
      </c>
      <c r="C11" s="1105">
        <f>1460.373</f>
        <v>1460.373</v>
      </c>
      <c r="D11" s="1105">
        <v>1636.5519999999999</v>
      </c>
      <c r="E11" s="1106">
        <v>1804.0509999999999</v>
      </c>
      <c r="F11" s="1106">
        <v>2877.6469999999999</v>
      </c>
      <c r="G11" s="1106" t="s">
        <v>2374</v>
      </c>
    </row>
    <row r="12" spans="1:12" x14ac:dyDescent="0.25">
      <c r="I12" s="534" t="s">
        <v>2375</v>
      </c>
      <c r="J12" s="2">
        <f>SUM(J3:J7)</f>
        <v>1457.4669999999999</v>
      </c>
    </row>
    <row r="13" spans="1:12" x14ac:dyDescent="0.25">
      <c r="A13" s="1086" t="s">
        <v>2376</v>
      </c>
      <c r="J13" s="2"/>
    </row>
    <row r="14" spans="1:12" x14ac:dyDescent="0.25">
      <c r="A14" s="8" t="s">
        <v>1677</v>
      </c>
      <c r="F14" s="536">
        <v>2020</v>
      </c>
      <c r="K14" s="2"/>
    </row>
    <row r="15" spans="1:12" x14ac:dyDescent="0.25">
      <c r="E15" s="534" t="s">
        <v>2377</v>
      </c>
      <c r="F15" s="1107" t="s">
        <v>374</v>
      </c>
      <c r="G15" s="1108" t="s">
        <v>2378</v>
      </c>
      <c r="H15" s="1109"/>
      <c r="I15" s="1107" t="s">
        <v>2379</v>
      </c>
      <c r="J15" s="1109"/>
      <c r="K15" s="1107" t="s">
        <v>2380</v>
      </c>
      <c r="L15" s="1109"/>
    </row>
    <row r="16" spans="1:12" x14ac:dyDescent="0.25">
      <c r="E16" s="534" t="s">
        <v>2304</v>
      </c>
      <c r="F16" s="1110">
        <v>1650.0000000000002</v>
      </c>
      <c r="G16" s="1111">
        <v>672</v>
      </c>
      <c r="H16" s="1111">
        <v>1039</v>
      </c>
      <c r="I16" s="1111">
        <v>978.00000000000023</v>
      </c>
      <c r="J16" s="1111">
        <v>611.00000000000023</v>
      </c>
      <c r="K16" s="1112">
        <v>-0.40727272727272723</v>
      </c>
      <c r="L16" s="1113">
        <v>-0.62969696969696964</v>
      </c>
    </row>
    <row r="17" spans="1:12" x14ac:dyDescent="0.25">
      <c r="E17" s="534" t="s">
        <v>2358</v>
      </c>
      <c r="F17" s="1114">
        <v>50</v>
      </c>
      <c r="G17" s="1111">
        <v>8</v>
      </c>
      <c r="H17" s="1111">
        <v>3</v>
      </c>
      <c r="I17" s="1111">
        <v>42</v>
      </c>
      <c r="J17" s="1111">
        <v>47</v>
      </c>
      <c r="K17" s="1112">
        <v>-0.16000000000000003</v>
      </c>
      <c r="L17" s="1113">
        <v>-6.0000000000000053E-2</v>
      </c>
    </row>
    <row r="18" spans="1:12" x14ac:dyDescent="0.25">
      <c r="E18" s="534" t="s">
        <v>2381</v>
      </c>
      <c r="F18" s="1114">
        <v>1250</v>
      </c>
      <c r="G18" s="1111">
        <v>87</v>
      </c>
      <c r="H18" s="1111">
        <v>139</v>
      </c>
      <c r="I18" s="1111">
        <v>1163</v>
      </c>
      <c r="J18" s="1111">
        <v>1111</v>
      </c>
      <c r="K18" s="1112">
        <v>-6.9599999999999995E-2</v>
      </c>
      <c r="L18" s="1113">
        <v>-0.11119999999999997</v>
      </c>
    </row>
    <row r="19" spans="1:12" x14ac:dyDescent="0.25">
      <c r="E19" s="534" t="s">
        <v>2382</v>
      </c>
      <c r="F19" s="1114">
        <v>2950</v>
      </c>
      <c r="G19" s="1111">
        <v>767</v>
      </c>
      <c r="H19" s="1111">
        <v>1181</v>
      </c>
      <c r="I19" s="1111">
        <v>2183</v>
      </c>
      <c r="J19" s="1111">
        <v>1769.0000000000002</v>
      </c>
      <c r="K19" s="1112">
        <v>-0.26</v>
      </c>
      <c r="L19" s="1113">
        <v>-0.40033898305084736</v>
      </c>
    </row>
    <row r="20" spans="1:12" x14ac:dyDescent="0.25">
      <c r="K20" s="2"/>
    </row>
    <row r="21" spans="1:12" x14ac:dyDescent="0.25">
      <c r="E21" s="534" t="s">
        <v>1882</v>
      </c>
      <c r="F21" s="4">
        <f>F16+F17</f>
        <v>1700.0000000000002</v>
      </c>
      <c r="G21" s="4">
        <f>G16+G17</f>
        <v>680</v>
      </c>
      <c r="H21" s="4">
        <f>H16+H17</f>
        <v>1042</v>
      </c>
      <c r="I21" s="4">
        <f>I16+I17</f>
        <v>1020.0000000000002</v>
      </c>
      <c r="J21" s="4">
        <f>J16+J17</f>
        <v>658.00000000000023</v>
      </c>
      <c r="K21" s="22">
        <f>I21/F21-1</f>
        <v>-0.39999999999999991</v>
      </c>
      <c r="L21" s="22">
        <f>J21/F21-1</f>
        <v>-0.6129411764705881</v>
      </c>
    </row>
    <row r="22" spans="1:12" x14ac:dyDescent="0.25">
      <c r="J22" s="2"/>
    </row>
    <row r="23" spans="1:12" x14ac:dyDescent="0.25">
      <c r="D23" s="536">
        <v>2030</v>
      </c>
    </row>
    <row r="24" spans="1:12" x14ac:dyDescent="0.25">
      <c r="A24" s="534" t="s">
        <v>1671</v>
      </c>
      <c r="B24" s="534" t="s">
        <v>2383</v>
      </c>
      <c r="C24" s="534" t="s">
        <v>2384</v>
      </c>
      <c r="D24" s="2">
        <v>876.64576305168134</v>
      </c>
      <c r="E24" s="534" t="s">
        <v>2385</v>
      </c>
    </row>
    <row r="25" spans="1:12" x14ac:dyDescent="0.25">
      <c r="A25" s="534" t="s">
        <v>2386</v>
      </c>
      <c r="B25" s="534" t="s">
        <v>2576</v>
      </c>
      <c r="C25" s="534" t="s">
        <v>2384</v>
      </c>
      <c r="D25" s="1115">
        <v>672</v>
      </c>
      <c r="E25" s="534" t="s">
        <v>2387</v>
      </c>
    </row>
    <row r="26" spans="1:12" x14ac:dyDescent="0.25">
      <c r="A26" s="534" t="s">
        <v>2388</v>
      </c>
      <c r="C26" s="534" t="s">
        <v>2389</v>
      </c>
      <c r="D26" s="1089">
        <f>G37</f>
        <v>438.7685140000001</v>
      </c>
    </row>
    <row r="27" spans="1:12" x14ac:dyDescent="0.25">
      <c r="D27" s="2"/>
    </row>
    <row r="28" spans="1:12" x14ac:dyDescent="0.25">
      <c r="C28" s="536"/>
      <c r="F28" s="536"/>
    </row>
    <row r="29" spans="1:12" x14ac:dyDescent="0.25">
      <c r="D29" s="25"/>
      <c r="E29" s="6"/>
      <c r="F29" s="6"/>
      <c r="G29" s="6"/>
      <c r="I29" s="534" t="s">
        <v>2390</v>
      </c>
    </row>
    <row r="30" spans="1:12" x14ac:dyDescent="0.25">
      <c r="C30" s="536"/>
      <c r="D30" s="536"/>
      <c r="E30" s="536"/>
      <c r="F30" s="536"/>
      <c r="G30" s="536"/>
    </row>
    <row r="31" spans="1:12" x14ac:dyDescent="0.25">
      <c r="D31" s="22"/>
      <c r="E31" s="22"/>
    </row>
    <row r="32" spans="1:12" x14ac:dyDescent="0.25">
      <c r="A32" s="536" t="s">
        <v>2575</v>
      </c>
      <c r="B32" s="536">
        <v>2030</v>
      </c>
      <c r="C32" s="536" t="s">
        <v>374</v>
      </c>
      <c r="D32" s="534" t="s">
        <v>2391</v>
      </c>
      <c r="E32" s="534" t="s">
        <v>2392</v>
      </c>
      <c r="F32" s="536" t="s">
        <v>2513</v>
      </c>
    </row>
    <row r="33" spans="1:10" x14ac:dyDescent="0.25">
      <c r="A33" s="534" t="s">
        <v>2393</v>
      </c>
      <c r="D33" s="25">
        <v>-0.28999999999999998</v>
      </c>
      <c r="E33" s="1116">
        <v>-0.41</v>
      </c>
      <c r="F33" s="25">
        <v>-0.28999999999999998</v>
      </c>
      <c r="G33" s="1116">
        <v>-0.41</v>
      </c>
    </row>
    <row r="34" spans="1:10" x14ac:dyDescent="0.25">
      <c r="A34" s="534" t="s">
        <v>2394</v>
      </c>
      <c r="B34" s="733" t="s">
        <v>2395</v>
      </c>
      <c r="C34" s="1117">
        <v>2030</v>
      </c>
      <c r="D34" s="1117">
        <v>2030</v>
      </c>
      <c r="E34" s="1117">
        <v>2030</v>
      </c>
      <c r="F34" s="1117">
        <v>2030</v>
      </c>
      <c r="G34" s="1117">
        <v>2030</v>
      </c>
    </row>
    <row r="35" spans="1:10" x14ac:dyDescent="0.25">
      <c r="A35" s="534" t="s">
        <v>2396</v>
      </c>
      <c r="B35" s="476" t="s">
        <v>2397</v>
      </c>
      <c r="C35" s="2">
        <f>F4+F5+F6</f>
        <v>1801.7199999999998</v>
      </c>
      <c r="D35" s="2">
        <f>D38-D37-D36</f>
        <v>-415.92738999999995</v>
      </c>
      <c r="E35" s="2">
        <f>D35+20%*E38</f>
        <v>-651.89444399999991</v>
      </c>
      <c r="F35" s="1089">
        <f>$C35+D35</f>
        <v>1385.79261</v>
      </c>
      <c r="G35" s="1089">
        <f>$C35+E35</f>
        <v>1149.8255559999998</v>
      </c>
      <c r="I35" s="22">
        <f>F35/C35-1</f>
        <v>-0.23085018204826491</v>
      </c>
      <c r="J35" s="22">
        <f>G35/C35-1</f>
        <v>-0.36181784295007002</v>
      </c>
    </row>
    <row r="36" spans="1:10" x14ac:dyDescent="0.25">
      <c r="B36" s="476" t="s">
        <v>2358</v>
      </c>
      <c r="C36" s="2">
        <f>J6</f>
        <v>116.18899999999999</v>
      </c>
      <c r="D36" s="2">
        <f>C36*K17</f>
        <v>-18.590240000000001</v>
      </c>
      <c r="E36" s="2">
        <f>C36*L17</f>
        <v>-6.9713400000000059</v>
      </c>
      <c r="F36" s="1089">
        <f>$C36+D36</f>
        <v>97.598759999999999</v>
      </c>
      <c r="G36" s="1089">
        <f>$C36+E36</f>
        <v>109.21765999999998</v>
      </c>
      <c r="I36" s="22">
        <f t="shared" ref="I36:I39" si="0">F36/C36-1</f>
        <v>-0.15999999999999992</v>
      </c>
      <c r="J36" s="22">
        <f t="shared" ref="J36:J39" si="1">G36/C36-1</f>
        <v>-6.0000000000000053E-2</v>
      </c>
    </row>
    <row r="37" spans="1:10" x14ac:dyDescent="0.25">
      <c r="B37" s="1118" t="s">
        <v>2398</v>
      </c>
      <c r="C37" s="1119">
        <f>F7+F8+F9-C36</f>
        <v>959.73799999999994</v>
      </c>
      <c r="D37" s="1120">
        <v>-400</v>
      </c>
      <c r="E37" s="1119">
        <f>E38-E35-E36</f>
        <v>-520.96948599999985</v>
      </c>
      <c r="F37" s="1121">
        <f>C37+D37</f>
        <v>559.73799999999994</v>
      </c>
      <c r="G37" s="1122">
        <f>$C37+E37</f>
        <v>438.7685140000001</v>
      </c>
      <c r="I37" s="22">
        <f t="shared" si="0"/>
        <v>-0.41678041298771129</v>
      </c>
      <c r="J37" s="22">
        <f t="shared" si="1"/>
        <v>-0.54282469382268905</v>
      </c>
    </row>
    <row r="38" spans="1:10" x14ac:dyDescent="0.25">
      <c r="B38" s="534" t="s">
        <v>2399</v>
      </c>
      <c r="C38" s="2">
        <f>F11</f>
        <v>2877.6469999999999</v>
      </c>
      <c r="D38" s="2">
        <f>C38*D33</f>
        <v>-834.51762999999994</v>
      </c>
      <c r="E38" s="2">
        <f>C38*E33</f>
        <v>-1179.8352699999998</v>
      </c>
      <c r="F38" s="1089">
        <f>C38+D38</f>
        <v>2043.1293700000001</v>
      </c>
      <c r="G38" s="1089">
        <f>C38+E38</f>
        <v>1697.8117300000001</v>
      </c>
      <c r="I38" s="22">
        <f t="shared" si="0"/>
        <v>-0.28999999999999992</v>
      </c>
      <c r="J38" s="22">
        <f t="shared" si="1"/>
        <v>-0.40999999999999992</v>
      </c>
    </row>
    <row r="39" spans="1:10" x14ac:dyDescent="0.25">
      <c r="B39" s="534" t="s">
        <v>2306</v>
      </c>
      <c r="C39" s="1123">
        <f>C38-C37</f>
        <v>1917.9090000000001</v>
      </c>
      <c r="D39" s="1089">
        <f t="shared" ref="D39:E39" si="2">D38-D37</f>
        <v>-434.51762999999994</v>
      </c>
      <c r="E39" s="1089">
        <f t="shared" si="2"/>
        <v>-658.86578399999996</v>
      </c>
      <c r="F39" s="1089">
        <f>C39+D39</f>
        <v>1483.3913700000003</v>
      </c>
      <c r="G39" s="1089">
        <f>C39+E39</f>
        <v>1259.043216</v>
      </c>
      <c r="I39" s="22">
        <f t="shared" si="0"/>
        <v>-0.2265580014484524</v>
      </c>
      <c r="J39" s="22">
        <f t="shared" si="1"/>
        <v>-0.34353339183454479</v>
      </c>
    </row>
    <row r="42" spans="1:10" x14ac:dyDescent="0.25">
      <c r="B42" s="536" t="s">
        <v>374</v>
      </c>
      <c r="C42" s="536">
        <v>2010</v>
      </c>
      <c r="D42" s="536">
        <v>2020</v>
      </c>
      <c r="E42" s="536">
        <v>2030</v>
      </c>
    </row>
    <row r="43" spans="1:10" x14ac:dyDescent="0.25">
      <c r="B43" s="13" t="s">
        <v>2375</v>
      </c>
      <c r="C43" s="2">
        <f>C11</f>
        <v>1460.373</v>
      </c>
      <c r="D43" s="2">
        <f>E11</f>
        <v>1804.0509999999999</v>
      </c>
      <c r="E43" s="1089">
        <f>C38</f>
        <v>2877.6469999999999</v>
      </c>
    </row>
    <row r="44" spans="1:10" x14ac:dyDescent="0.25">
      <c r="B44" s="534" t="s">
        <v>2304</v>
      </c>
      <c r="C44" s="2">
        <f>C7+C8+C9-C36</f>
        <v>783.49299999999994</v>
      </c>
      <c r="D44" s="2">
        <f>(C44+E44)/2</f>
        <v>611.13075700000002</v>
      </c>
      <c r="E44" s="1089">
        <f>G37</f>
        <v>438.7685140000001</v>
      </c>
    </row>
    <row r="45" spans="1:10" x14ac:dyDescent="0.25">
      <c r="B45" s="534" t="s">
        <v>2400</v>
      </c>
      <c r="C45" s="1089">
        <f>C43-C44</f>
        <v>676.88000000000011</v>
      </c>
      <c r="D45" s="1123">
        <f>D43-D44</f>
        <v>1192.920243</v>
      </c>
      <c r="E45" s="1089">
        <f>C39</f>
        <v>1917.9090000000001</v>
      </c>
    </row>
  </sheetData>
  <hyperlinks>
    <hyperlink ref="A4" r:id="rId1" display="http://apki.net/wp-content/uploads/2015/07/Presentasi-INDC-BAPPENAS-di-KLHK.pptx" xr:uid="{00000000-0004-0000-0F00-000000000000}"/>
    <hyperlink ref="A14" r:id="rId2" xr:uid="{00000000-0004-0000-0F00-000001000000}"/>
  </hyperlinks>
  <pageMargins left="0.7" right="0.7" top="0.75" bottom="0.75" header="0.3" footer="0.3"/>
  <pageSetup paperSize="9" orientation="portrait" r:id="rId3"/>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B8"/>
  <sheetViews>
    <sheetView workbookViewId="0">
      <selection activeCell="B8" sqref="B8"/>
    </sheetView>
  </sheetViews>
  <sheetFormatPr defaultRowHeight="15" x14ac:dyDescent="0.25"/>
  <cols>
    <col min="1" max="1" width="44.42578125" style="534" bestFit="1" customWidth="1"/>
    <col min="2" max="2" width="115.140625" style="534" customWidth="1"/>
    <col min="3" max="16384" width="9.140625" style="534"/>
  </cols>
  <sheetData>
    <row r="1" spans="1:2" x14ac:dyDescent="0.25">
      <c r="A1" s="536" t="s">
        <v>2622</v>
      </c>
    </row>
    <row r="2" spans="1:2" x14ac:dyDescent="0.25">
      <c r="A2" s="534" t="s">
        <v>2580</v>
      </c>
    </row>
    <row r="3" spans="1:2" ht="30" x14ac:dyDescent="0.25">
      <c r="B3" s="288" t="s">
        <v>2581</v>
      </c>
    </row>
    <row r="4" spans="1:2" ht="45" x14ac:dyDescent="0.25">
      <c r="B4" s="288" t="s">
        <v>2582</v>
      </c>
    </row>
    <row r="5" spans="1:2" x14ac:dyDescent="0.25">
      <c r="B5" s="534" t="s">
        <v>2583</v>
      </c>
    </row>
    <row r="6" spans="1:2" x14ac:dyDescent="0.25">
      <c r="B6" s="534" t="s">
        <v>2584</v>
      </c>
    </row>
    <row r="8" spans="1:2" ht="30" x14ac:dyDescent="0.25">
      <c r="B8" s="671" t="s">
        <v>2585</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25"/>
  <sheetViews>
    <sheetView workbookViewId="0">
      <selection activeCell="B8" sqref="B8"/>
    </sheetView>
  </sheetViews>
  <sheetFormatPr defaultRowHeight="15" x14ac:dyDescent="0.25"/>
  <cols>
    <col min="1" max="6" width="9.140625" style="534"/>
    <col min="7" max="8" width="10.28515625" style="534" customWidth="1"/>
    <col min="9" max="16384" width="9.140625" style="534"/>
  </cols>
  <sheetData>
    <row r="1" spans="1:14" x14ac:dyDescent="0.25">
      <c r="A1" s="1254" t="s">
        <v>2586</v>
      </c>
      <c r="B1" s="1255"/>
      <c r="C1" s="1255"/>
      <c r="D1" s="1256"/>
      <c r="E1" s="1256"/>
      <c r="F1" s="1257"/>
      <c r="G1" s="1296" t="s">
        <v>2587</v>
      </c>
      <c r="H1" s="1296"/>
      <c r="I1" s="1296"/>
      <c r="J1" s="1296"/>
    </row>
    <row r="2" spans="1:14" x14ac:dyDescent="0.25">
      <c r="A2" s="1258" t="s">
        <v>2588</v>
      </c>
      <c r="B2" s="1259" t="s">
        <v>2589</v>
      </c>
      <c r="C2" s="1259" t="s">
        <v>2590</v>
      </c>
      <c r="D2" s="1259" t="s">
        <v>2591</v>
      </c>
      <c r="E2" s="1258" t="s">
        <v>2590</v>
      </c>
      <c r="F2" s="1260"/>
      <c r="G2" s="1261" t="s">
        <v>2592</v>
      </c>
      <c r="H2" s="1258" t="s">
        <v>2588</v>
      </c>
      <c r="I2" s="1258" t="str">
        <f>Argentina!B2</f>
        <v xml:space="preserve">NoPolicy </v>
      </c>
      <c r="J2" s="1258" t="str">
        <f>Argentina!D2</f>
        <v xml:space="preserve">NPi </v>
      </c>
    </row>
    <row r="3" spans="1:14" x14ac:dyDescent="0.25">
      <c r="A3" s="1255">
        <v>2010</v>
      </c>
      <c r="B3" s="1262">
        <v>115.145</v>
      </c>
      <c r="C3" s="1263" t="s">
        <v>2593</v>
      </c>
      <c r="D3" s="1264">
        <f>B3</f>
        <v>115.145</v>
      </c>
      <c r="E3" s="1263" t="s">
        <v>2593</v>
      </c>
      <c r="F3" s="1257"/>
      <c r="G3" s="1265">
        <f>G5-B3</f>
        <v>-22.74499999999999</v>
      </c>
      <c r="H3" s="1266">
        <f>A3</f>
        <v>2010</v>
      </c>
      <c r="I3" s="1262">
        <f>B3+$G$3</f>
        <v>92.4</v>
      </c>
      <c r="J3" s="1262">
        <f>D3+$G$3</f>
        <v>92.4</v>
      </c>
    </row>
    <row r="4" spans="1:14" x14ac:dyDescent="0.25">
      <c r="A4" s="1255">
        <v>2011</v>
      </c>
      <c r="B4" s="1267" t="s">
        <v>2594</v>
      </c>
      <c r="C4" s="1267" t="s">
        <v>2594</v>
      </c>
      <c r="D4" s="1264">
        <f>D$3+(D$13-D$3)/($A$13-$A$3)*($A4-$A$3)</f>
        <v>114.06049999999999</v>
      </c>
      <c r="E4" s="1268" t="s">
        <v>2595</v>
      </c>
      <c r="F4" s="1257"/>
      <c r="G4" s="1261" t="s">
        <v>2596</v>
      </c>
      <c r="H4" s="1266">
        <f t="shared" ref="H4:H23" si="0">A4</f>
        <v>2011</v>
      </c>
      <c r="I4" s="1267" t="s">
        <v>2594</v>
      </c>
      <c r="J4" s="1262">
        <f t="shared" ref="J4:J23" si="1">D4+$G$3</f>
        <v>91.3155</v>
      </c>
    </row>
    <row r="5" spans="1:14" x14ac:dyDescent="0.25">
      <c r="A5" s="1255">
        <v>2012</v>
      </c>
      <c r="B5" s="1267" t="s">
        <v>2594</v>
      </c>
      <c r="C5" s="1267" t="s">
        <v>2594</v>
      </c>
      <c r="D5" s="1264">
        <f t="shared" ref="D5:D12" si="2">D$3+(D$13-D$3)/($A$13-$A$3)*($A5-$A$3)</f>
        <v>112.976</v>
      </c>
      <c r="E5" s="1268" t="s">
        <v>2595</v>
      </c>
      <c r="F5" s="1257"/>
      <c r="G5" s="1269">
        <f>(-36121.1888+128521.1888)/1000</f>
        <v>92.4</v>
      </c>
      <c r="H5" s="1266">
        <f t="shared" si="0"/>
        <v>2012</v>
      </c>
      <c r="I5" s="1267" t="s">
        <v>2594</v>
      </c>
      <c r="J5" s="1262">
        <f t="shared" si="1"/>
        <v>90.231000000000009</v>
      </c>
      <c r="M5" s="1270"/>
      <c r="N5" s="1271"/>
    </row>
    <row r="6" spans="1:14" x14ac:dyDescent="0.25">
      <c r="A6" s="1255">
        <v>2013</v>
      </c>
      <c r="B6" s="1267" t="s">
        <v>2594</v>
      </c>
      <c r="C6" s="1267" t="s">
        <v>2594</v>
      </c>
      <c r="D6" s="1264">
        <f t="shared" si="2"/>
        <v>111.89149999999999</v>
      </c>
      <c r="E6" s="1268" t="s">
        <v>2595</v>
      </c>
      <c r="F6" s="1257"/>
      <c r="G6" s="13"/>
      <c r="H6" s="1266">
        <f t="shared" si="0"/>
        <v>2013</v>
      </c>
      <c r="I6" s="1267" t="s">
        <v>2594</v>
      </c>
      <c r="J6" s="1262">
        <f t="shared" si="1"/>
        <v>89.146500000000003</v>
      </c>
    </row>
    <row r="7" spans="1:14" x14ac:dyDescent="0.25">
      <c r="A7" s="1255">
        <v>2014</v>
      </c>
      <c r="B7" s="1267" t="s">
        <v>2594</v>
      </c>
      <c r="C7" s="1267" t="s">
        <v>2594</v>
      </c>
      <c r="D7" s="1264">
        <f t="shared" si="2"/>
        <v>110.807</v>
      </c>
      <c r="E7" s="1268" t="s">
        <v>2595</v>
      </c>
      <c r="F7" s="1257"/>
      <c r="G7" s="13"/>
      <c r="H7" s="1266">
        <f t="shared" si="0"/>
        <v>2014</v>
      </c>
      <c r="I7" s="1267" t="s">
        <v>2594</v>
      </c>
      <c r="J7" s="1262">
        <f t="shared" si="1"/>
        <v>88.062000000000012</v>
      </c>
    </row>
    <row r="8" spans="1:14" x14ac:dyDescent="0.25">
      <c r="A8" s="1255">
        <v>2015</v>
      </c>
      <c r="B8" s="1267" t="s">
        <v>2594</v>
      </c>
      <c r="C8" s="1267" t="s">
        <v>2594</v>
      </c>
      <c r="D8" s="1264">
        <f t="shared" si="2"/>
        <v>109.7225</v>
      </c>
      <c r="E8" s="1268" t="s">
        <v>2595</v>
      </c>
      <c r="F8" s="1257"/>
      <c r="G8" s="13"/>
      <c r="H8" s="1266">
        <f t="shared" si="0"/>
        <v>2015</v>
      </c>
      <c r="I8" s="1267" t="s">
        <v>2594</v>
      </c>
      <c r="J8" s="1262">
        <f t="shared" si="1"/>
        <v>86.977500000000006</v>
      </c>
    </row>
    <row r="9" spans="1:14" x14ac:dyDescent="0.25">
      <c r="A9" s="1255">
        <v>2016</v>
      </c>
      <c r="B9" s="1267" t="s">
        <v>2594</v>
      </c>
      <c r="C9" s="1267" t="s">
        <v>2594</v>
      </c>
      <c r="D9" s="1264">
        <f t="shared" si="2"/>
        <v>108.63799999999999</v>
      </c>
      <c r="E9" s="1268" t="s">
        <v>2595</v>
      </c>
      <c r="F9" s="1257"/>
      <c r="G9" s="13"/>
      <c r="H9" s="1266">
        <f t="shared" si="0"/>
        <v>2016</v>
      </c>
      <c r="I9" s="1267" t="s">
        <v>2594</v>
      </c>
      <c r="J9" s="1262">
        <f t="shared" si="1"/>
        <v>85.893000000000001</v>
      </c>
    </row>
    <row r="10" spans="1:14" x14ac:dyDescent="0.25">
      <c r="A10" s="1255">
        <v>2017</v>
      </c>
      <c r="B10" s="1267" t="s">
        <v>2594</v>
      </c>
      <c r="C10" s="1267" t="s">
        <v>2594</v>
      </c>
      <c r="D10" s="1264">
        <f t="shared" si="2"/>
        <v>107.5535</v>
      </c>
      <c r="E10" s="1268" t="s">
        <v>2595</v>
      </c>
      <c r="F10" s="1257"/>
      <c r="G10" s="13"/>
      <c r="H10" s="1266">
        <f t="shared" si="0"/>
        <v>2017</v>
      </c>
      <c r="I10" s="1267" t="s">
        <v>2594</v>
      </c>
      <c r="J10" s="1262">
        <f t="shared" si="1"/>
        <v>84.808500000000009</v>
      </c>
    </row>
    <row r="11" spans="1:14" x14ac:dyDescent="0.25">
      <c r="A11" s="1255">
        <v>2018</v>
      </c>
      <c r="B11" s="1267" t="s">
        <v>2594</v>
      </c>
      <c r="C11" s="1267" t="s">
        <v>2594</v>
      </c>
      <c r="D11" s="1264">
        <f t="shared" si="2"/>
        <v>106.46899999999999</v>
      </c>
      <c r="E11" s="1268" t="s">
        <v>2595</v>
      </c>
      <c r="F11" s="1257"/>
      <c r="G11" s="13"/>
      <c r="H11" s="1266">
        <f t="shared" si="0"/>
        <v>2018</v>
      </c>
      <c r="I11" s="1267" t="s">
        <v>2594</v>
      </c>
      <c r="J11" s="1262">
        <f t="shared" si="1"/>
        <v>83.724000000000004</v>
      </c>
    </row>
    <row r="12" spans="1:14" x14ac:dyDescent="0.25">
      <c r="A12" s="1255">
        <v>2019</v>
      </c>
      <c r="B12" s="1267" t="s">
        <v>2594</v>
      </c>
      <c r="C12" s="1267" t="s">
        <v>2594</v>
      </c>
      <c r="D12" s="1264">
        <f t="shared" si="2"/>
        <v>105.3845</v>
      </c>
      <c r="E12" s="1268" t="s">
        <v>2595</v>
      </c>
      <c r="F12" s="1257"/>
      <c r="G12" s="13"/>
      <c r="H12" s="1266">
        <f t="shared" si="0"/>
        <v>2019</v>
      </c>
      <c r="I12" s="1267" t="s">
        <v>2594</v>
      </c>
      <c r="J12" s="1262">
        <f t="shared" si="1"/>
        <v>82.639500000000012</v>
      </c>
    </row>
    <row r="13" spans="1:14" x14ac:dyDescent="0.25">
      <c r="A13" s="1255">
        <v>2020</v>
      </c>
      <c r="B13" s="1267" t="s">
        <v>2594</v>
      </c>
      <c r="C13" s="1267" t="s">
        <v>2594</v>
      </c>
      <c r="D13" s="1264">
        <v>104.3</v>
      </c>
      <c r="E13" s="1263" t="s">
        <v>2430</v>
      </c>
      <c r="F13" s="1257"/>
      <c r="G13" s="13"/>
      <c r="H13" s="1266">
        <f t="shared" si="0"/>
        <v>2020</v>
      </c>
      <c r="I13" s="1267" t="s">
        <v>2594</v>
      </c>
      <c r="J13" s="1262">
        <f t="shared" si="1"/>
        <v>81.555000000000007</v>
      </c>
    </row>
    <row r="14" spans="1:14" x14ac:dyDescent="0.25">
      <c r="A14" s="1255">
        <v>2021</v>
      </c>
      <c r="B14" s="1267" t="s">
        <v>2594</v>
      </c>
      <c r="C14" s="1267" t="s">
        <v>2594</v>
      </c>
      <c r="D14" s="1264">
        <f>D$13+(D$23-D$13)/($A$23-$A$13)*($A14-$A$13)</f>
        <v>104.50999999999999</v>
      </c>
      <c r="E14" s="1268" t="s">
        <v>2595</v>
      </c>
      <c r="F14" s="1257"/>
      <c r="G14" s="13"/>
      <c r="H14" s="1266">
        <f t="shared" si="0"/>
        <v>2021</v>
      </c>
      <c r="I14" s="1267" t="s">
        <v>2594</v>
      </c>
      <c r="J14" s="1262">
        <f t="shared" si="1"/>
        <v>81.765000000000001</v>
      </c>
    </row>
    <row r="15" spans="1:14" x14ac:dyDescent="0.25">
      <c r="A15" s="1255">
        <v>2022</v>
      </c>
      <c r="B15" s="1267" t="s">
        <v>2594</v>
      </c>
      <c r="C15" s="1267" t="s">
        <v>2594</v>
      </c>
      <c r="D15" s="1264">
        <f t="shared" ref="D15:D22" si="3">D$13+(D$23-D$13)/($A$23-$A$13)*($A15-$A$13)</f>
        <v>104.72</v>
      </c>
      <c r="E15" s="1268" t="s">
        <v>2595</v>
      </c>
      <c r="F15" s="1257"/>
      <c r="G15" s="13"/>
      <c r="H15" s="1266">
        <f t="shared" si="0"/>
        <v>2022</v>
      </c>
      <c r="I15" s="1267" t="s">
        <v>2594</v>
      </c>
      <c r="J15" s="1262">
        <f t="shared" si="1"/>
        <v>81.975000000000009</v>
      </c>
    </row>
    <row r="16" spans="1:14" x14ac:dyDescent="0.25">
      <c r="A16" s="1255">
        <v>2023</v>
      </c>
      <c r="B16" s="1267" t="s">
        <v>2594</v>
      </c>
      <c r="C16" s="1267" t="s">
        <v>2594</v>
      </c>
      <c r="D16" s="1264">
        <f t="shared" si="3"/>
        <v>104.93</v>
      </c>
      <c r="E16" s="1268" t="s">
        <v>2595</v>
      </c>
      <c r="F16" s="1257"/>
      <c r="G16" s="13"/>
      <c r="H16" s="1266">
        <f t="shared" si="0"/>
        <v>2023</v>
      </c>
      <c r="I16" s="1267" t="s">
        <v>2594</v>
      </c>
      <c r="J16" s="1262">
        <f t="shared" si="1"/>
        <v>82.185000000000016</v>
      </c>
    </row>
    <row r="17" spans="1:10" x14ac:dyDescent="0.25">
      <c r="A17" s="1255">
        <v>2024</v>
      </c>
      <c r="B17" s="1267" t="s">
        <v>2594</v>
      </c>
      <c r="C17" s="1267" t="s">
        <v>2594</v>
      </c>
      <c r="D17" s="1264">
        <f t="shared" si="3"/>
        <v>105.14</v>
      </c>
      <c r="E17" s="1268" t="s">
        <v>2595</v>
      </c>
      <c r="G17" s="13"/>
      <c r="H17" s="1266">
        <f t="shared" si="0"/>
        <v>2024</v>
      </c>
      <c r="I17" s="1267" t="s">
        <v>2594</v>
      </c>
      <c r="J17" s="1262">
        <f t="shared" si="1"/>
        <v>82.39500000000001</v>
      </c>
    </row>
    <row r="18" spans="1:10" x14ac:dyDescent="0.25">
      <c r="A18" s="1255">
        <v>2025</v>
      </c>
      <c r="B18" s="1267" t="s">
        <v>2594</v>
      </c>
      <c r="C18" s="1267" t="s">
        <v>2594</v>
      </c>
      <c r="D18" s="1264">
        <f t="shared" si="3"/>
        <v>105.35</v>
      </c>
      <c r="E18" s="1268" t="s">
        <v>2595</v>
      </c>
      <c r="G18" s="13"/>
      <c r="H18" s="1266">
        <f t="shared" si="0"/>
        <v>2025</v>
      </c>
      <c r="I18" s="1267" t="s">
        <v>2594</v>
      </c>
      <c r="J18" s="1262">
        <f t="shared" si="1"/>
        <v>82.605000000000004</v>
      </c>
    </row>
    <row r="19" spans="1:10" x14ac:dyDescent="0.25">
      <c r="A19" s="1255">
        <v>2026</v>
      </c>
      <c r="B19" s="1267" t="s">
        <v>2594</v>
      </c>
      <c r="C19" s="1267" t="s">
        <v>2594</v>
      </c>
      <c r="D19" s="1264">
        <f t="shared" si="3"/>
        <v>105.56</v>
      </c>
      <c r="E19" s="1268" t="s">
        <v>2595</v>
      </c>
      <c r="G19" s="13"/>
      <c r="H19" s="1266">
        <f t="shared" si="0"/>
        <v>2026</v>
      </c>
      <c r="I19" s="1267" t="s">
        <v>2594</v>
      </c>
      <c r="J19" s="1262">
        <f t="shared" si="1"/>
        <v>82.815000000000012</v>
      </c>
    </row>
    <row r="20" spans="1:10" x14ac:dyDescent="0.25">
      <c r="A20" s="1255">
        <v>2027</v>
      </c>
      <c r="B20" s="1267" t="s">
        <v>2594</v>
      </c>
      <c r="C20" s="1267" t="s">
        <v>2594</v>
      </c>
      <c r="D20" s="1264">
        <f t="shared" si="3"/>
        <v>105.77000000000001</v>
      </c>
      <c r="E20" s="1268" t="s">
        <v>2595</v>
      </c>
      <c r="G20" s="13"/>
      <c r="H20" s="1266">
        <f t="shared" si="0"/>
        <v>2027</v>
      </c>
      <c r="I20" s="1267" t="s">
        <v>2594</v>
      </c>
      <c r="J20" s="1262">
        <f t="shared" si="1"/>
        <v>83.02500000000002</v>
      </c>
    </row>
    <row r="21" spans="1:10" x14ac:dyDescent="0.25">
      <c r="A21" s="1255">
        <v>2028</v>
      </c>
      <c r="B21" s="1267" t="s">
        <v>2594</v>
      </c>
      <c r="C21" s="1267" t="s">
        <v>2594</v>
      </c>
      <c r="D21" s="1264">
        <f t="shared" si="3"/>
        <v>105.98</v>
      </c>
      <c r="E21" s="1268" t="s">
        <v>2595</v>
      </c>
      <c r="G21" s="13"/>
      <c r="H21" s="1266">
        <f t="shared" si="0"/>
        <v>2028</v>
      </c>
      <c r="I21" s="1267" t="s">
        <v>2594</v>
      </c>
      <c r="J21" s="1262">
        <f t="shared" si="1"/>
        <v>83.235000000000014</v>
      </c>
    </row>
    <row r="22" spans="1:10" x14ac:dyDescent="0.25">
      <c r="A22" s="1255">
        <v>2029</v>
      </c>
      <c r="B22" s="1267" t="s">
        <v>2594</v>
      </c>
      <c r="C22" s="1267" t="s">
        <v>2594</v>
      </c>
      <c r="D22" s="1264">
        <f t="shared" si="3"/>
        <v>106.19</v>
      </c>
      <c r="E22" s="1268" t="s">
        <v>2595</v>
      </c>
      <c r="G22" s="13"/>
      <c r="H22" s="1266">
        <f t="shared" si="0"/>
        <v>2029</v>
      </c>
      <c r="I22" s="1267" t="s">
        <v>2594</v>
      </c>
      <c r="J22" s="1262">
        <f t="shared" si="1"/>
        <v>83.445000000000007</v>
      </c>
    </row>
    <row r="23" spans="1:10" x14ac:dyDescent="0.25">
      <c r="A23" s="1255">
        <v>2030</v>
      </c>
      <c r="B23" s="1267" t="s">
        <v>2594</v>
      </c>
      <c r="C23" s="1267" t="s">
        <v>2594</v>
      </c>
      <c r="D23" s="1264">
        <v>106.4</v>
      </c>
      <c r="E23" s="1263" t="s">
        <v>2430</v>
      </c>
      <c r="G23" s="1257"/>
      <c r="H23" s="1266">
        <f t="shared" si="0"/>
        <v>2030</v>
      </c>
      <c r="I23" s="1267" t="s">
        <v>2594</v>
      </c>
      <c r="J23" s="1262">
        <f t="shared" si="1"/>
        <v>83.655000000000015</v>
      </c>
    </row>
    <row r="25" spans="1:10" x14ac:dyDescent="0.25">
      <c r="A25" s="1272" t="s">
        <v>2597</v>
      </c>
    </row>
  </sheetData>
  <mergeCells count="1">
    <mergeCell ref="G1:J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36"/>
  <sheetViews>
    <sheetView topLeftCell="A48" zoomScaleNormal="100" workbookViewId="0">
      <selection activeCell="B8" sqref="B8"/>
    </sheetView>
  </sheetViews>
  <sheetFormatPr defaultRowHeight="12.75" x14ac:dyDescent="0.2"/>
  <cols>
    <col min="1" max="1" width="9.140625" style="1257"/>
    <col min="2" max="3" width="9" style="1257" customWidth="1"/>
    <col min="4" max="4" width="8.28515625" style="1257" customWidth="1"/>
    <col min="5" max="11" width="9.140625" style="1257"/>
    <col min="12" max="12" width="10.28515625" style="1257" customWidth="1"/>
    <col min="13" max="16384" width="9.140625" style="1257"/>
  </cols>
  <sheetData>
    <row r="1" spans="1:15" ht="15" x14ac:dyDescent="0.25">
      <c r="A1" s="1273" t="s">
        <v>2598</v>
      </c>
      <c r="B1" s="536"/>
      <c r="C1" s="536"/>
      <c r="D1" s="12"/>
      <c r="E1" s="12"/>
      <c r="F1" s="13"/>
      <c r="G1" s="1296" t="s">
        <v>2599</v>
      </c>
      <c r="H1" s="1296"/>
      <c r="I1" s="1296"/>
      <c r="J1" s="1296"/>
      <c r="L1" s="1296" t="s">
        <v>2587</v>
      </c>
      <c r="M1" s="1296"/>
      <c r="N1" s="1296"/>
      <c r="O1" s="1296"/>
    </row>
    <row r="2" spans="1:15" s="1260" customFormat="1" ht="15" x14ac:dyDescent="0.25">
      <c r="A2" s="1258" t="s">
        <v>2588</v>
      </c>
      <c r="B2" s="1259" t="s">
        <v>2589</v>
      </c>
      <c r="C2" s="1258" t="s">
        <v>2590</v>
      </c>
      <c r="D2" s="1259" t="s">
        <v>2591</v>
      </c>
      <c r="E2" s="1258" t="s">
        <v>2590</v>
      </c>
      <c r="F2" s="1274"/>
      <c r="G2" s="1261" t="s">
        <v>2592</v>
      </c>
      <c r="H2" s="1258" t="s">
        <v>2588</v>
      </c>
      <c r="I2" s="1258" t="str">
        <f>B2</f>
        <v xml:space="preserve">NoPolicy </v>
      </c>
      <c r="J2" s="1258" t="str">
        <f>D2</f>
        <v xml:space="preserve">NPi </v>
      </c>
      <c r="L2" s="1261" t="s">
        <v>2592</v>
      </c>
      <c r="M2" s="1258" t="s">
        <v>2588</v>
      </c>
      <c r="N2" s="1258" t="s">
        <v>2589</v>
      </c>
      <c r="O2" s="1258" t="s">
        <v>2591</v>
      </c>
    </row>
    <row r="3" spans="1:15" ht="15" x14ac:dyDescent="0.25">
      <c r="A3" s="1255">
        <v>2010</v>
      </c>
      <c r="B3" s="1262">
        <v>27.563718000000001</v>
      </c>
      <c r="C3" s="1275" t="s">
        <v>2600</v>
      </c>
      <c r="D3" s="1264">
        <f>B3</f>
        <v>27.563718000000001</v>
      </c>
      <c r="E3" s="1276" t="s">
        <v>2600</v>
      </c>
      <c r="F3" s="13"/>
      <c r="G3" s="1265">
        <f>G5-B3</f>
        <v>11.436281999999999</v>
      </c>
      <c r="H3" s="1266">
        <f>A3</f>
        <v>2010</v>
      </c>
      <c r="I3" s="1262">
        <f>B3+$G$3</f>
        <v>39</v>
      </c>
      <c r="J3" s="1262">
        <f>D3+$G$3</f>
        <v>39</v>
      </c>
      <c r="L3" s="1265">
        <f>L5-D3</f>
        <v>-31.230384700000002</v>
      </c>
      <c r="M3" s="1266">
        <f>A3</f>
        <v>2010</v>
      </c>
      <c r="N3" s="1262">
        <f>B3+$L$3</f>
        <v>-3.6666667000000004</v>
      </c>
      <c r="O3" s="1262">
        <f>D3+$L$3</f>
        <v>-3.6666667000000004</v>
      </c>
    </row>
    <row r="4" spans="1:15" ht="15" x14ac:dyDescent="0.25">
      <c r="A4" s="1255">
        <v>2011</v>
      </c>
      <c r="B4" s="1262">
        <f>B$3+(B$13-B$3)/($A$13-$A$3)*($A4-$A$3)</f>
        <v>29.507346200000001</v>
      </c>
      <c r="C4" s="1277" t="s">
        <v>2595</v>
      </c>
      <c r="D4" s="1264">
        <f>D$3+(D$13-D$3)/($A$13-$A$3)*($A4-$A$3)</f>
        <v>29.107346200000002</v>
      </c>
      <c r="E4" s="1277" t="s">
        <v>2595</v>
      </c>
      <c r="F4" s="13"/>
      <c r="G4" s="1261" t="s">
        <v>2601</v>
      </c>
      <c r="H4" s="1266">
        <f t="shared" ref="H4:H23" si="0">A4</f>
        <v>2011</v>
      </c>
      <c r="I4" s="1262">
        <f t="shared" ref="I4:I23" si="1">B4+$G$3</f>
        <v>40.943628199999999</v>
      </c>
      <c r="J4" s="1262">
        <f t="shared" ref="J4:J23" si="2">D4+$G$3</f>
        <v>40.543628200000001</v>
      </c>
      <c r="L4" s="1261" t="s">
        <v>2596</v>
      </c>
      <c r="M4" s="1266">
        <f t="shared" ref="M4:M23" si="3">A4</f>
        <v>2011</v>
      </c>
      <c r="N4" s="1262">
        <f t="shared" ref="N4:N23" si="4">B4+$L$3</f>
        <v>-1.7230385000000012</v>
      </c>
      <c r="O4" s="1262">
        <f t="shared" ref="O4:O23" si="5">D4+$L$3</f>
        <v>-2.1230384999999998</v>
      </c>
    </row>
    <row r="5" spans="1:15" ht="15" x14ac:dyDescent="0.25">
      <c r="A5" s="1255">
        <v>2012</v>
      </c>
      <c r="B5" s="1262">
        <f t="shared" ref="B5:D12" si="6">B$3+(B$13-B$3)/($A$13-$A$3)*($A5-$A$3)</f>
        <v>31.4509744</v>
      </c>
      <c r="C5" s="1277" t="s">
        <v>2595</v>
      </c>
      <c r="D5" s="1264">
        <f t="shared" si="6"/>
        <v>30.650974400000003</v>
      </c>
      <c r="E5" s="1277" t="s">
        <v>2595</v>
      </c>
      <c r="F5" s="13"/>
      <c r="G5" s="1261">
        <v>39</v>
      </c>
      <c r="H5" s="1266">
        <f t="shared" si="0"/>
        <v>2012</v>
      </c>
      <c r="I5" s="1262">
        <f t="shared" si="1"/>
        <v>42.887256399999998</v>
      </c>
      <c r="J5" s="1262">
        <f t="shared" si="2"/>
        <v>42.087256400000001</v>
      </c>
      <c r="L5" s="1269">
        <f>(-224982.6802+221316.0135)/1000</f>
        <v>-3.6666667000000017</v>
      </c>
      <c r="M5" s="1266">
        <f t="shared" si="3"/>
        <v>2012</v>
      </c>
      <c r="N5" s="1262">
        <f t="shared" si="4"/>
        <v>0.22058969999999789</v>
      </c>
      <c r="O5" s="1262">
        <f t="shared" si="5"/>
        <v>-0.57941029999999927</v>
      </c>
    </row>
    <row r="6" spans="1:15" ht="15" x14ac:dyDescent="0.25">
      <c r="A6" s="1255">
        <v>2013</v>
      </c>
      <c r="B6" s="1262">
        <f t="shared" si="6"/>
        <v>33.394602599999999</v>
      </c>
      <c r="C6" s="1277" t="s">
        <v>2595</v>
      </c>
      <c r="D6" s="1264">
        <f t="shared" si="6"/>
        <v>32.194602600000003</v>
      </c>
      <c r="E6" s="1277" t="s">
        <v>2595</v>
      </c>
      <c r="F6" s="13"/>
      <c r="G6" s="13"/>
      <c r="H6" s="1266">
        <f t="shared" si="0"/>
        <v>2013</v>
      </c>
      <c r="I6" s="1262">
        <f t="shared" si="1"/>
        <v>44.830884599999997</v>
      </c>
      <c r="J6" s="1262">
        <f t="shared" si="2"/>
        <v>43.630884600000002</v>
      </c>
      <c r="L6" s="13"/>
      <c r="M6" s="1266">
        <f t="shared" si="3"/>
        <v>2013</v>
      </c>
      <c r="N6" s="1262">
        <f t="shared" si="4"/>
        <v>2.164217899999997</v>
      </c>
      <c r="O6" s="1262">
        <f t="shared" si="5"/>
        <v>0.96421790000000129</v>
      </c>
    </row>
    <row r="7" spans="1:15" ht="15" x14ac:dyDescent="0.25">
      <c r="A7" s="1255">
        <v>2014</v>
      </c>
      <c r="B7" s="1262">
        <f t="shared" si="6"/>
        <v>35.338230799999998</v>
      </c>
      <c r="C7" s="1277" t="s">
        <v>2595</v>
      </c>
      <c r="D7" s="1264">
        <f t="shared" si="6"/>
        <v>33.738230800000004</v>
      </c>
      <c r="E7" s="1277" t="s">
        <v>2595</v>
      </c>
      <c r="F7" s="13"/>
      <c r="G7" s="13"/>
      <c r="H7" s="1266">
        <f t="shared" si="0"/>
        <v>2014</v>
      </c>
      <c r="I7" s="1262">
        <f t="shared" si="1"/>
        <v>46.774512799999997</v>
      </c>
      <c r="J7" s="1262">
        <f t="shared" si="2"/>
        <v>45.174512800000002</v>
      </c>
      <c r="L7" s="13"/>
      <c r="M7" s="1266">
        <f t="shared" si="3"/>
        <v>2014</v>
      </c>
      <c r="N7" s="1262">
        <f t="shared" si="4"/>
        <v>4.1078460999999962</v>
      </c>
      <c r="O7" s="1262">
        <f t="shared" si="5"/>
        <v>2.5078461000000019</v>
      </c>
    </row>
    <row r="8" spans="1:15" ht="15" x14ac:dyDescent="0.25">
      <c r="A8" s="1255">
        <v>2015</v>
      </c>
      <c r="B8" s="1262">
        <f t="shared" si="6"/>
        <v>37.281858999999997</v>
      </c>
      <c r="C8" s="1277" t="s">
        <v>2595</v>
      </c>
      <c r="D8" s="1264">
        <f t="shared" si="6"/>
        <v>35.281858999999997</v>
      </c>
      <c r="E8" s="1277" t="s">
        <v>2595</v>
      </c>
      <c r="F8" s="13"/>
      <c r="G8" s="13"/>
      <c r="H8" s="1266">
        <f t="shared" si="0"/>
        <v>2015</v>
      </c>
      <c r="I8" s="1262">
        <f t="shared" si="1"/>
        <v>48.718140999999996</v>
      </c>
      <c r="J8" s="1262">
        <f t="shared" si="2"/>
        <v>46.718140999999996</v>
      </c>
      <c r="L8" s="13"/>
      <c r="M8" s="1266">
        <f t="shared" si="3"/>
        <v>2015</v>
      </c>
      <c r="N8" s="1262">
        <f t="shared" si="4"/>
        <v>6.0514742999999953</v>
      </c>
      <c r="O8" s="1262">
        <f t="shared" si="5"/>
        <v>4.0514742999999953</v>
      </c>
    </row>
    <row r="9" spans="1:15" ht="15" x14ac:dyDescent="0.25">
      <c r="A9" s="1255">
        <v>2016</v>
      </c>
      <c r="B9" s="1262">
        <f t="shared" si="6"/>
        <v>39.225487200000003</v>
      </c>
      <c r="C9" s="1277" t="s">
        <v>2595</v>
      </c>
      <c r="D9" s="1264">
        <f t="shared" si="6"/>
        <v>36.825487199999998</v>
      </c>
      <c r="E9" s="1277" t="s">
        <v>2595</v>
      </c>
      <c r="F9" s="13"/>
      <c r="G9" s="13"/>
      <c r="H9" s="1266">
        <f t="shared" si="0"/>
        <v>2016</v>
      </c>
      <c r="I9" s="1262">
        <f t="shared" si="1"/>
        <v>50.661769200000002</v>
      </c>
      <c r="J9" s="1262">
        <f t="shared" si="2"/>
        <v>48.261769199999996</v>
      </c>
      <c r="L9" s="13"/>
      <c r="M9" s="1266">
        <f t="shared" si="3"/>
        <v>2016</v>
      </c>
      <c r="N9" s="1262">
        <f t="shared" si="4"/>
        <v>7.9951025000000016</v>
      </c>
      <c r="O9" s="1262">
        <f t="shared" si="5"/>
        <v>5.5951024999999959</v>
      </c>
    </row>
    <row r="10" spans="1:15" ht="15" x14ac:dyDescent="0.25">
      <c r="A10" s="1255">
        <v>2017</v>
      </c>
      <c r="B10" s="1262">
        <f t="shared" si="6"/>
        <v>41.169115400000003</v>
      </c>
      <c r="C10" s="1277" t="s">
        <v>2595</v>
      </c>
      <c r="D10" s="1264">
        <f t="shared" si="6"/>
        <v>38.369115399999998</v>
      </c>
      <c r="E10" s="1277" t="s">
        <v>2595</v>
      </c>
      <c r="F10" s="13"/>
      <c r="G10" s="13"/>
      <c r="H10" s="1266">
        <f t="shared" si="0"/>
        <v>2017</v>
      </c>
      <c r="I10" s="1262">
        <f t="shared" si="1"/>
        <v>52.605397400000001</v>
      </c>
      <c r="J10" s="1262">
        <f t="shared" si="2"/>
        <v>49.805397399999997</v>
      </c>
      <c r="L10" s="13"/>
      <c r="M10" s="1266">
        <f t="shared" si="3"/>
        <v>2017</v>
      </c>
      <c r="N10" s="1262">
        <f t="shared" si="4"/>
        <v>9.9387307000000007</v>
      </c>
      <c r="O10" s="1262">
        <f t="shared" si="5"/>
        <v>7.1387306999999964</v>
      </c>
    </row>
    <row r="11" spans="1:15" ht="15" x14ac:dyDescent="0.25">
      <c r="A11" s="1255">
        <v>2018</v>
      </c>
      <c r="B11" s="1262">
        <f t="shared" si="6"/>
        <v>43.112743600000002</v>
      </c>
      <c r="C11" s="1277" t="s">
        <v>2595</v>
      </c>
      <c r="D11" s="1264">
        <f t="shared" si="6"/>
        <v>39.912743599999999</v>
      </c>
      <c r="E11" s="1277" t="s">
        <v>2595</v>
      </c>
      <c r="F11" s="13"/>
      <c r="G11" s="13"/>
      <c r="H11" s="1266">
        <f t="shared" si="0"/>
        <v>2018</v>
      </c>
      <c r="I11" s="1262">
        <f t="shared" si="1"/>
        <v>54.5490256</v>
      </c>
      <c r="J11" s="1262">
        <f t="shared" si="2"/>
        <v>51.349025599999997</v>
      </c>
      <c r="L11" s="13"/>
      <c r="M11" s="1266">
        <f t="shared" si="3"/>
        <v>2018</v>
      </c>
      <c r="N11" s="1262">
        <f t="shared" si="4"/>
        <v>11.8823589</v>
      </c>
      <c r="O11" s="1262">
        <f t="shared" si="5"/>
        <v>8.682358899999997</v>
      </c>
    </row>
    <row r="12" spans="1:15" ht="15" x14ac:dyDescent="0.25">
      <c r="A12" s="1255">
        <v>2019</v>
      </c>
      <c r="B12" s="1262">
        <f t="shared" si="6"/>
        <v>45.056371800000001</v>
      </c>
      <c r="C12" s="1277" t="s">
        <v>2595</v>
      </c>
      <c r="D12" s="1264">
        <f t="shared" si="6"/>
        <v>41.456371799999999</v>
      </c>
      <c r="E12" s="1277" t="s">
        <v>2595</v>
      </c>
      <c r="F12" s="13"/>
      <c r="G12" s="13"/>
      <c r="H12" s="1266">
        <f t="shared" si="0"/>
        <v>2019</v>
      </c>
      <c r="I12" s="1262">
        <f t="shared" si="1"/>
        <v>56.492653799999999</v>
      </c>
      <c r="J12" s="1262">
        <f t="shared" si="2"/>
        <v>52.892653799999998</v>
      </c>
      <c r="L12" s="13"/>
      <c r="M12" s="1266">
        <f t="shared" si="3"/>
        <v>2019</v>
      </c>
      <c r="N12" s="1262">
        <f t="shared" si="4"/>
        <v>13.825987099999999</v>
      </c>
      <c r="O12" s="1262">
        <f t="shared" si="5"/>
        <v>10.225987099999998</v>
      </c>
    </row>
    <row r="13" spans="1:15" ht="15" x14ac:dyDescent="0.25">
      <c r="A13" s="1255">
        <v>2020</v>
      </c>
      <c r="B13" s="1262">
        <v>47</v>
      </c>
      <c r="C13" s="1278" t="s">
        <v>2602</v>
      </c>
      <c r="D13" s="1264">
        <v>43</v>
      </c>
      <c r="E13" s="1276" t="s">
        <v>2602</v>
      </c>
      <c r="F13" s="13"/>
      <c r="G13" s="13"/>
      <c r="H13" s="1266">
        <f t="shared" si="0"/>
        <v>2020</v>
      </c>
      <c r="I13" s="1262">
        <f t="shared" si="1"/>
        <v>58.436281999999999</v>
      </c>
      <c r="J13" s="1262">
        <f t="shared" si="2"/>
        <v>54.436281999999999</v>
      </c>
      <c r="L13" s="13"/>
      <c r="M13" s="1266">
        <f t="shared" si="3"/>
        <v>2020</v>
      </c>
      <c r="N13" s="1262">
        <f t="shared" si="4"/>
        <v>15.769615299999998</v>
      </c>
      <c r="O13" s="1262">
        <f t="shared" si="5"/>
        <v>11.769615299999998</v>
      </c>
    </row>
    <row r="14" spans="1:15" ht="15" x14ac:dyDescent="0.25">
      <c r="A14" s="1255">
        <v>2021</v>
      </c>
      <c r="B14" s="1262">
        <f>B$13+(B$23-B$13)/($A$23-$A$13)*($A14-$A$13)</f>
        <v>47.1</v>
      </c>
      <c r="C14" s="1277" t="s">
        <v>2595</v>
      </c>
      <c r="D14" s="1264">
        <f>D$13+(D$23-D$13)/($A$23-$A$13)*($A14-$A$13)</f>
        <v>42.9</v>
      </c>
      <c r="E14" s="1277" t="s">
        <v>2595</v>
      </c>
      <c r="F14" s="13"/>
      <c r="G14" s="13"/>
      <c r="H14" s="1266">
        <f t="shared" si="0"/>
        <v>2021</v>
      </c>
      <c r="I14" s="1262">
        <f t="shared" si="1"/>
        <v>58.536282</v>
      </c>
      <c r="J14" s="1262">
        <f t="shared" si="2"/>
        <v>54.336281999999997</v>
      </c>
      <c r="M14" s="1266">
        <f t="shared" si="3"/>
        <v>2021</v>
      </c>
      <c r="N14" s="1262">
        <f t="shared" si="4"/>
        <v>15.8696153</v>
      </c>
      <c r="O14" s="1262">
        <f t="shared" si="5"/>
        <v>11.669615299999997</v>
      </c>
    </row>
    <row r="15" spans="1:15" ht="15" x14ac:dyDescent="0.25">
      <c r="A15" s="1255">
        <v>2022</v>
      </c>
      <c r="B15" s="1262">
        <f t="shared" ref="B15:B22" si="7">B$13+(B$23-B$13)/($A$23-$A$13)*($A15-$A$13)</f>
        <v>47.2</v>
      </c>
      <c r="C15" s="1277" t="s">
        <v>2595</v>
      </c>
      <c r="D15" s="1264">
        <f t="shared" ref="D15:D22" si="8">D$13+(D$23-D$13)/($A$23-$A$13)*($A15-$A$13)</f>
        <v>42.8</v>
      </c>
      <c r="E15" s="1277" t="s">
        <v>2595</v>
      </c>
      <c r="F15" s="13"/>
      <c r="G15" s="13"/>
      <c r="H15" s="1266">
        <f t="shared" si="0"/>
        <v>2022</v>
      </c>
      <c r="I15" s="1262">
        <f t="shared" si="1"/>
        <v>58.636282000000001</v>
      </c>
      <c r="J15" s="1262">
        <f t="shared" si="2"/>
        <v>54.236281999999996</v>
      </c>
      <c r="M15" s="1266">
        <f t="shared" si="3"/>
        <v>2022</v>
      </c>
      <c r="N15" s="1262">
        <f t="shared" si="4"/>
        <v>15.969615300000001</v>
      </c>
      <c r="O15" s="1262">
        <f t="shared" si="5"/>
        <v>11.569615299999995</v>
      </c>
    </row>
    <row r="16" spans="1:15" ht="15" x14ac:dyDescent="0.25">
      <c r="A16" s="1255">
        <v>2023</v>
      </c>
      <c r="B16" s="1262">
        <f t="shared" si="7"/>
        <v>47.3</v>
      </c>
      <c r="C16" s="1277" t="s">
        <v>2595</v>
      </c>
      <c r="D16" s="1264">
        <f t="shared" si="8"/>
        <v>42.7</v>
      </c>
      <c r="E16" s="1277" t="s">
        <v>2595</v>
      </c>
      <c r="F16" s="13"/>
      <c r="G16" s="13"/>
      <c r="H16" s="1266">
        <f t="shared" si="0"/>
        <v>2023</v>
      </c>
      <c r="I16" s="1262">
        <f t="shared" si="1"/>
        <v>58.736281999999996</v>
      </c>
      <c r="J16" s="1262">
        <f t="shared" si="2"/>
        <v>54.136282000000001</v>
      </c>
      <c r="M16" s="1266">
        <f t="shared" si="3"/>
        <v>2023</v>
      </c>
      <c r="N16" s="1262">
        <f t="shared" si="4"/>
        <v>16.069615299999995</v>
      </c>
      <c r="O16" s="1262">
        <f t="shared" si="5"/>
        <v>11.469615300000001</v>
      </c>
    </row>
    <row r="17" spans="1:15" ht="15" x14ac:dyDescent="0.25">
      <c r="A17" s="1255">
        <v>2024</v>
      </c>
      <c r="B17" s="1262">
        <f t="shared" si="7"/>
        <v>47.4</v>
      </c>
      <c r="C17" s="1277" t="s">
        <v>2595</v>
      </c>
      <c r="D17" s="1264">
        <f t="shared" si="8"/>
        <v>42.6</v>
      </c>
      <c r="E17" s="1277" t="s">
        <v>2595</v>
      </c>
      <c r="F17" s="13"/>
      <c r="G17" s="13"/>
      <c r="H17" s="1266">
        <f t="shared" si="0"/>
        <v>2024</v>
      </c>
      <c r="I17" s="1262">
        <f t="shared" si="1"/>
        <v>58.836281999999997</v>
      </c>
      <c r="J17" s="1262">
        <f t="shared" si="2"/>
        <v>54.036282</v>
      </c>
      <c r="L17" s="534"/>
      <c r="M17" s="1266">
        <f t="shared" si="3"/>
        <v>2024</v>
      </c>
      <c r="N17" s="1262">
        <f t="shared" si="4"/>
        <v>16.169615299999997</v>
      </c>
      <c r="O17" s="1262">
        <f t="shared" si="5"/>
        <v>11.3696153</v>
      </c>
    </row>
    <row r="18" spans="1:15" ht="15" x14ac:dyDescent="0.25">
      <c r="A18" s="1255">
        <v>2025</v>
      </c>
      <c r="B18" s="1262">
        <f t="shared" si="7"/>
        <v>47.5</v>
      </c>
      <c r="C18" s="1277" t="s">
        <v>2595</v>
      </c>
      <c r="D18" s="1264">
        <f t="shared" si="8"/>
        <v>42.5</v>
      </c>
      <c r="E18" s="1277" t="s">
        <v>2595</v>
      </c>
      <c r="F18" s="13"/>
      <c r="G18" s="13"/>
      <c r="H18" s="1266">
        <f t="shared" si="0"/>
        <v>2025</v>
      </c>
      <c r="I18" s="1262">
        <f t="shared" si="1"/>
        <v>58.936281999999999</v>
      </c>
      <c r="J18" s="1262">
        <f t="shared" si="2"/>
        <v>53.936281999999999</v>
      </c>
      <c r="L18" s="534"/>
      <c r="M18" s="1266">
        <f t="shared" si="3"/>
        <v>2025</v>
      </c>
      <c r="N18" s="1262">
        <f t="shared" si="4"/>
        <v>16.269615299999998</v>
      </c>
      <c r="O18" s="1262">
        <f t="shared" si="5"/>
        <v>11.269615299999998</v>
      </c>
    </row>
    <row r="19" spans="1:15" ht="15" x14ac:dyDescent="0.25">
      <c r="A19" s="1255">
        <v>2026</v>
      </c>
      <c r="B19" s="1262">
        <f t="shared" si="7"/>
        <v>47.6</v>
      </c>
      <c r="C19" s="1277" t="s">
        <v>2595</v>
      </c>
      <c r="D19" s="1264">
        <f t="shared" si="8"/>
        <v>42.4</v>
      </c>
      <c r="E19" s="1277" t="s">
        <v>2595</v>
      </c>
      <c r="F19" s="13"/>
      <c r="G19" s="13"/>
      <c r="H19" s="1266">
        <f t="shared" si="0"/>
        <v>2026</v>
      </c>
      <c r="I19" s="1262">
        <f t="shared" si="1"/>
        <v>59.036282</v>
      </c>
      <c r="J19" s="1262">
        <f t="shared" si="2"/>
        <v>53.836281999999997</v>
      </c>
      <c r="L19" s="534"/>
      <c r="M19" s="1266">
        <f t="shared" si="3"/>
        <v>2026</v>
      </c>
      <c r="N19" s="1262">
        <f t="shared" si="4"/>
        <v>16.3696153</v>
      </c>
      <c r="O19" s="1262">
        <f t="shared" si="5"/>
        <v>11.169615299999997</v>
      </c>
    </row>
    <row r="20" spans="1:15" ht="15" x14ac:dyDescent="0.25">
      <c r="A20" s="1255">
        <v>2027</v>
      </c>
      <c r="B20" s="1262">
        <f t="shared" si="7"/>
        <v>47.7</v>
      </c>
      <c r="C20" s="1277" t="s">
        <v>2595</v>
      </c>
      <c r="D20" s="1264">
        <f t="shared" si="8"/>
        <v>42.3</v>
      </c>
      <c r="E20" s="1277" t="s">
        <v>2595</v>
      </c>
      <c r="F20" s="13"/>
      <c r="G20" s="13"/>
      <c r="H20" s="1266">
        <f t="shared" si="0"/>
        <v>2027</v>
      </c>
      <c r="I20" s="1262">
        <f t="shared" si="1"/>
        <v>59.136282000000001</v>
      </c>
      <c r="J20" s="1262">
        <f t="shared" si="2"/>
        <v>53.736281999999996</v>
      </c>
      <c r="L20" s="534"/>
      <c r="M20" s="1266">
        <f t="shared" si="3"/>
        <v>2027</v>
      </c>
      <c r="N20" s="1262">
        <f t="shared" si="4"/>
        <v>16.469615300000001</v>
      </c>
      <c r="O20" s="1262">
        <f t="shared" si="5"/>
        <v>11.069615299999995</v>
      </c>
    </row>
    <row r="21" spans="1:15" ht="15" x14ac:dyDescent="0.25">
      <c r="A21" s="1255">
        <v>2028</v>
      </c>
      <c r="B21" s="1262">
        <f t="shared" si="7"/>
        <v>47.8</v>
      </c>
      <c r="C21" s="1277" t="s">
        <v>2595</v>
      </c>
      <c r="D21" s="1264">
        <f t="shared" si="8"/>
        <v>42.2</v>
      </c>
      <c r="E21" s="1277" t="s">
        <v>2595</v>
      </c>
      <c r="F21" s="13"/>
      <c r="G21" s="13"/>
      <c r="H21" s="1266">
        <f t="shared" si="0"/>
        <v>2028</v>
      </c>
      <c r="I21" s="1262">
        <f t="shared" si="1"/>
        <v>59.236281999999996</v>
      </c>
      <c r="J21" s="1262">
        <f t="shared" si="2"/>
        <v>53.636282000000001</v>
      </c>
      <c r="L21" s="534"/>
      <c r="M21" s="1266">
        <f t="shared" si="3"/>
        <v>2028</v>
      </c>
      <c r="N21" s="1262">
        <f t="shared" si="4"/>
        <v>16.569615299999995</v>
      </c>
      <c r="O21" s="1262">
        <f t="shared" si="5"/>
        <v>10.969615300000001</v>
      </c>
    </row>
    <row r="22" spans="1:15" ht="15" x14ac:dyDescent="0.25">
      <c r="A22" s="1255">
        <v>2029</v>
      </c>
      <c r="B22" s="1262">
        <f t="shared" si="7"/>
        <v>47.9</v>
      </c>
      <c r="C22" s="1277" t="s">
        <v>2595</v>
      </c>
      <c r="D22" s="1264">
        <f t="shared" si="8"/>
        <v>42.1</v>
      </c>
      <c r="E22" s="1277" t="s">
        <v>2595</v>
      </c>
      <c r="F22" s="13"/>
      <c r="G22" s="13"/>
      <c r="H22" s="1266">
        <f t="shared" si="0"/>
        <v>2029</v>
      </c>
      <c r="I22" s="1262">
        <f t="shared" si="1"/>
        <v>59.336281999999997</v>
      </c>
      <c r="J22" s="1262">
        <f t="shared" si="2"/>
        <v>53.536282</v>
      </c>
      <c r="L22" s="534"/>
      <c r="M22" s="1266">
        <f t="shared" si="3"/>
        <v>2029</v>
      </c>
      <c r="N22" s="1262">
        <f t="shared" si="4"/>
        <v>16.669615299999997</v>
      </c>
      <c r="O22" s="1262">
        <f t="shared" si="5"/>
        <v>10.8696153</v>
      </c>
    </row>
    <row r="23" spans="1:15" ht="15" x14ac:dyDescent="0.25">
      <c r="A23" s="1255">
        <v>2030</v>
      </c>
      <c r="B23" s="1262">
        <v>48</v>
      </c>
      <c r="C23" s="1278" t="s">
        <v>2602</v>
      </c>
      <c r="D23" s="1262">
        <v>42</v>
      </c>
      <c r="E23" s="1276" t="s">
        <v>2602</v>
      </c>
      <c r="F23" s="13"/>
      <c r="G23" s="13"/>
      <c r="H23" s="1266">
        <f t="shared" si="0"/>
        <v>2030</v>
      </c>
      <c r="I23" s="1262">
        <f t="shared" si="1"/>
        <v>59.436281999999999</v>
      </c>
      <c r="J23" s="1262">
        <f t="shared" si="2"/>
        <v>53.436281999999999</v>
      </c>
      <c r="L23" s="534"/>
      <c r="M23" s="1266">
        <f t="shared" si="3"/>
        <v>2030</v>
      </c>
      <c r="N23" s="1262">
        <f t="shared" si="4"/>
        <v>16.769615299999998</v>
      </c>
      <c r="O23" s="1262">
        <f t="shared" si="5"/>
        <v>10.769615299999998</v>
      </c>
    </row>
    <row r="24" spans="1:15" ht="15" x14ac:dyDescent="0.25">
      <c r="A24" s="1255"/>
      <c r="B24" s="1279"/>
      <c r="C24" s="1279"/>
      <c r="D24" s="1280"/>
      <c r="E24" s="13"/>
      <c r="F24" s="13"/>
      <c r="G24" s="13"/>
      <c r="H24" s="13"/>
    </row>
    <row r="25" spans="1:15" ht="15" x14ac:dyDescent="0.25">
      <c r="A25" s="1272" t="s">
        <v>2603</v>
      </c>
      <c r="B25" s="1279"/>
      <c r="C25" s="1279"/>
      <c r="D25" s="1280"/>
      <c r="E25" s="1281"/>
      <c r="F25" s="13"/>
      <c r="G25" s="13"/>
      <c r="H25" s="13"/>
    </row>
    <row r="26" spans="1:15" ht="15" x14ac:dyDescent="0.25">
      <c r="A26" s="1272" t="s">
        <v>2604</v>
      </c>
      <c r="B26" s="1279"/>
      <c r="C26" s="1279"/>
      <c r="D26" s="1280"/>
      <c r="E26" s="1281"/>
      <c r="F26" s="13"/>
      <c r="G26" s="13"/>
      <c r="H26" s="13"/>
    </row>
    <row r="27" spans="1:15" x14ac:dyDescent="0.2">
      <c r="A27" s="1255"/>
      <c r="B27" s="1282"/>
      <c r="C27" s="1282"/>
      <c r="D27" s="1264"/>
      <c r="E27" s="1283"/>
    </row>
    <row r="28" spans="1:15" x14ac:dyDescent="0.2">
      <c r="A28" s="1255"/>
      <c r="B28" s="1282"/>
      <c r="C28" s="1282"/>
      <c r="D28" s="1264"/>
      <c r="E28" s="1283"/>
    </row>
    <row r="29" spans="1:15" x14ac:dyDescent="0.2">
      <c r="A29" s="1255"/>
      <c r="B29" s="1282"/>
      <c r="C29" s="1282"/>
      <c r="D29" s="1264"/>
      <c r="E29" s="1283"/>
    </row>
    <row r="30" spans="1:15" x14ac:dyDescent="0.2">
      <c r="A30" s="1255"/>
      <c r="B30" s="1282"/>
      <c r="C30" s="1282"/>
      <c r="D30" s="1264"/>
      <c r="E30" s="1283"/>
    </row>
    <row r="31" spans="1:15" x14ac:dyDescent="0.2">
      <c r="A31" s="1255"/>
      <c r="B31" s="1282"/>
      <c r="C31" s="1282"/>
      <c r="D31" s="1264"/>
      <c r="E31" s="1283"/>
    </row>
    <row r="32" spans="1:15" x14ac:dyDescent="0.2">
      <c r="A32" s="1255"/>
      <c r="B32" s="1282"/>
      <c r="C32" s="1282"/>
      <c r="D32" s="1264"/>
      <c r="E32" s="1283"/>
    </row>
    <row r="33" spans="1:5" x14ac:dyDescent="0.2">
      <c r="A33" s="1255"/>
      <c r="B33" s="1282"/>
      <c r="C33" s="1282"/>
      <c r="D33" s="1264"/>
      <c r="E33" s="1283"/>
    </row>
    <row r="34" spans="1:5" x14ac:dyDescent="0.2">
      <c r="B34" s="1282"/>
      <c r="C34" s="1282"/>
      <c r="D34" s="1282"/>
      <c r="E34" s="1282"/>
    </row>
    <row r="35" spans="1:5" x14ac:dyDescent="0.2">
      <c r="E35" s="1282"/>
    </row>
    <row r="36" spans="1:5" x14ac:dyDescent="0.2">
      <c r="E36" s="1282"/>
    </row>
  </sheetData>
  <mergeCells count="2">
    <mergeCell ref="G1:J1"/>
    <mergeCell ref="L1:O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workbookViewId="0">
      <selection activeCell="A17" sqref="A17"/>
    </sheetView>
  </sheetViews>
  <sheetFormatPr defaultRowHeight="15" x14ac:dyDescent="0.25"/>
  <cols>
    <col min="1" max="1" width="242.140625" style="1145" customWidth="1"/>
    <col min="2" max="16384" width="9.140625" style="1145"/>
  </cols>
  <sheetData>
    <row r="1" spans="1:2" ht="60.75" x14ac:dyDescent="0.3">
      <c r="A1" s="1250" t="s">
        <v>2577</v>
      </c>
    </row>
    <row r="2" spans="1:2" ht="56.25" x14ac:dyDescent="0.3">
      <c r="A2" s="1250" t="s">
        <v>2578</v>
      </c>
    </row>
    <row r="3" spans="1:2" ht="58.5" x14ac:dyDescent="0.3">
      <c r="A3" s="1250" t="s">
        <v>2579</v>
      </c>
    </row>
    <row r="4" spans="1:2" x14ac:dyDescent="0.25">
      <c r="A4" s="1247"/>
    </row>
    <row r="5" spans="1:2" x14ac:dyDescent="0.25">
      <c r="A5" s="1248" t="s">
        <v>2510</v>
      </c>
      <c r="B5" s="1149"/>
    </row>
    <row r="6" spans="1:2" x14ac:dyDescent="0.25">
      <c r="A6" s="1248" t="s">
        <v>2511</v>
      </c>
    </row>
    <row r="7" spans="1:2" x14ac:dyDescent="0.25">
      <c r="A7" s="1248" t="s">
        <v>2512</v>
      </c>
    </row>
    <row r="8" spans="1:2" x14ac:dyDescent="0.25">
      <c r="A8" s="1251"/>
    </row>
    <row r="9" spans="1:2" customFormat="1" x14ac:dyDescent="0.25">
      <c r="A9" s="1253" t="s">
        <v>2453</v>
      </c>
    </row>
    <row r="10" spans="1:2" customFormat="1" x14ac:dyDescent="0.25">
      <c r="A10" s="1252" t="s">
        <v>2454</v>
      </c>
    </row>
    <row r="11" spans="1:2" x14ac:dyDescent="0.25">
      <c r="A11" s="1251"/>
    </row>
  </sheetData>
  <hyperlinks>
    <hyperlink ref="A5" r:id="rId1" display="http://www.cd-links.org/wp-content/uploads/2016/06/CD-LINKS_D2.1_Jan-2018.pdf" xr:uid="{00000000-0004-0000-0100-000000000000}"/>
    <hyperlink ref="A6" r:id="rId2" xr:uid="{00000000-0004-0000-0100-000001000000}"/>
    <hyperlink ref="A7" r:id="rId3" xr:uid="{00000000-0004-0000-0100-000002000000}"/>
    <hyperlink ref="A10" r:id="rId4" xr:uid="{00000000-0004-0000-0100-000003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25"/>
  <sheetViews>
    <sheetView workbookViewId="0">
      <selection activeCell="B8" sqref="B8"/>
    </sheetView>
  </sheetViews>
  <sheetFormatPr defaultRowHeight="15" x14ac:dyDescent="0.25"/>
  <cols>
    <col min="1" max="6" width="9.140625" style="534"/>
    <col min="7" max="7" width="9.7109375" style="534" customWidth="1"/>
    <col min="8" max="16384" width="9.140625" style="534"/>
  </cols>
  <sheetData>
    <row r="1" spans="1:10" x14ac:dyDescent="0.25">
      <c r="A1" s="1254" t="s">
        <v>2586</v>
      </c>
      <c r="B1" s="1255"/>
      <c r="C1" s="1255"/>
      <c r="D1" s="1256"/>
      <c r="E1" s="1256"/>
      <c r="G1" s="1296" t="s">
        <v>2587</v>
      </c>
      <c r="H1" s="1296"/>
      <c r="I1" s="1296"/>
      <c r="J1" s="1296"/>
    </row>
    <row r="2" spans="1:10" x14ac:dyDescent="0.25">
      <c r="A2" s="1258" t="s">
        <v>2588</v>
      </c>
      <c r="B2" s="1259" t="s">
        <v>2589</v>
      </c>
      <c r="C2" s="1259" t="s">
        <v>2590</v>
      </c>
      <c r="D2" s="1259" t="s">
        <v>2591</v>
      </c>
      <c r="E2" s="1258" t="s">
        <v>2590</v>
      </c>
      <c r="G2" s="1261" t="s">
        <v>2592</v>
      </c>
      <c r="H2" s="1258" t="s">
        <v>2588</v>
      </c>
      <c r="I2" s="1258" t="str">
        <f>B2</f>
        <v xml:space="preserve">NoPolicy </v>
      </c>
      <c r="J2" s="1258" t="str">
        <f>D2</f>
        <v xml:space="preserve">NPi </v>
      </c>
    </row>
    <row r="3" spans="1:10" x14ac:dyDescent="0.25">
      <c r="A3" s="1255">
        <v>2010</v>
      </c>
      <c r="B3" s="1262">
        <v>1329.05</v>
      </c>
      <c r="C3" s="1263" t="s">
        <v>2605</v>
      </c>
      <c r="D3" s="1264">
        <f>B3</f>
        <v>1329.05</v>
      </c>
      <c r="E3" s="1263" t="s">
        <v>2605</v>
      </c>
      <c r="G3" s="1265">
        <f>G5-B3</f>
        <v>-811.14799999999991</v>
      </c>
      <c r="H3" s="1266">
        <f>A3</f>
        <v>2010</v>
      </c>
      <c r="I3" s="1262">
        <f>B3+$G$3</f>
        <v>517.90200000000004</v>
      </c>
      <c r="J3" s="1262">
        <f>D3+$G$3</f>
        <v>517.90200000000004</v>
      </c>
    </row>
    <row r="4" spans="1:10" x14ac:dyDescent="0.25">
      <c r="A4" s="1255">
        <v>2011</v>
      </c>
      <c r="B4" s="1262">
        <f>B$3+(B$13-B$3)/($A$13-$A$3)*($A4-$A$3)</f>
        <v>1316.145</v>
      </c>
      <c r="C4" s="1268" t="s">
        <v>2595</v>
      </c>
      <c r="D4" s="1264">
        <f>D$3+(D$13-D$3)/($A$13-$A$3)*($A4-$A$3)</f>
        <v>1266.145</v>
      </c>
      <c r="E4" s="1268" t="s">
        <v>2595</v>
      </c>
      <c r="G4" s="1261" t="s">
        <v>2596</v>
      </c>
      <c r="H4" s="1266">
        <f t="shared" ref="H4:H23" si="0">A4</f>
        <v>2011</v>
      </c>
      <c r="I4" s="1262">
        <f t="shared" ref="I4:I23" si="1">B4+$G$3</f>
        <v>504.99700000000007</v>
      </c>
      <c r="J4" s="1262">
        <f t="shared" ref="J4:J23" si="2">D4+$G$3</f>
        <v>454.99700000000007</v>
      </c>
    </row>
    <row r="5" spans="1:10" x14ac:dyDescent="0.25">
      <c r="A5" s="1255">
        <v>2012</v>
      </c>
      <c r="B5" s="1262">
        <f t="shared" ref="B5:D12" si="3">B$3+(B$13-B$3)/($A$13-$A$3)*($A5-$A$3)</f>
        <v>1303.24</v>
      </c>
      <c r="C5" s="1268" t="s">
        <v>2595</v>
      </c>
      <c r="D5" s="1264">
        <f t="shared" si="3"/>
        <v>1203.24</v>
      </c>
      <c r="E5" s="1268" t="s">
        <v>2595</v>
      </c>
      <c r="G5" s="1269">
        <f>(-325925.277+843827.277)/1000</f>
        <v>517.90200000000004</v>
      </c>
      <c r="H5" s="1266">
        <f t="shared" si="0"/>
        <v>2012</v>
      </c>
      <c r="I5" s="1262">
        <f t="shared" si="1"/>
        <v>492.0920000000001</v>
      </c>
      <c r="J5" s="1262">
        <f t="shared" si="2"/>
        <v>392.0920000000001</v>
      </c>
    </row>
    <row r="6" spans="1:10" x14ac:dyDescent="0.25">
      <c r="A6" s="1255">
        <v>2013</v>
      </c>
      <c r="B6" s="1262">
        <f t="shared" si="3"/>
        <v>1290.335</v>
      </c>
      <c r="C6" s="1268" t="s">
        <v>2595</v>
      </c>
      <c r="D6" s="1264">
        <f t="shared" si="3"/>
        <v>1140.335</v>
      </c>
      <c r="E6" s="1268" t="s">
        <v>2595</v>
      </c>
      <c r="G6" s="13"/>
      <c r="H6" s="1266">
        <f t="shared" si="0"/>
        <v>2013</v>
      </c>
      <c r="I6" s="1262">
        <f t="shared" si="1"/>
        <v>479.18700000000013</v>
      </c>
      <c r="J6" s="1262">
        <f t="shared" si="2"/>
        <v>329.18700000000013</v>
      </c>
    </row>
    <row r="7" spans="1:10" x14ac:dyDescent="0.25">
      <c r="A7" s="1255">
        <v>2014</v>
      </c>
      <c r="B7" s="1262">
        <f t="shared" si="3"/>
        <v>1277.43</v>
      </c>
      <c r="C7" s="1268" t="s">
        <v>2595</v>
      </c>
      <c r="D7" s="1264">
        <f t="shared" si="3"/>
        <v>1077.43</v>
      </c>
      <c r="E7" s="1268" t="s">
        <v>2595</v>
      </c>
      <c r="G7" s="13"/>
      <c r="H7" s="1266">
        <f t="shared" si="0"/>
        <v>2014</v>
      </c>
      <c r="I7" s="1262">
        <f t="shared" si="1"/>
        <v>466.28200000000015</v>
      </c>
      <c r="J7" s="1262">
        <f t="shared" si="2"/>
        <v>266.28200000000015</v>
      </c>
    </row>
    <row r="8" spans="1:10" x14ac:dyDescent="0.25">
      <c r="A8" s="1255">
        <v>2015</v>
      </c>
      <c r="B8" s="1262">
        <f t="shared" si="3"/>
        <v>1264.5250000000001</v>
      </c>
      <c r="C8" s="1268" t="s">
        <v>2595</v>
      </c>
      <c r="D8" s="1264">
        <f t="shared" si="3"/>
        <v>1014.525</v>
      </c>
      <c r="E8" s="1268" t="s">
        <v>2595</v>
      </c>
      <c r="G8" s="13"/>
      <c r="H8" s="1266">
        <f t="shared" si="0"/>
        <v>2015</v>
      </c>
      <c r="I8" s="1262">
        <f t="shared" si="1"/>
        <v>453.37700000000018</v>
      </c>
      <c r="J8" s="1262">
        <f t="shared" si="2"/>
        <v>203.37700000000007</v>
      </c>
    </row>
    <row r="9" spans="1:10" ht="15.75" customHeight="1" x14ac:dyDescent="0.25">
      <c r="A9" s="1255">
        <v>2016</v>
      </c>
      <c r="B9" s="1262">
        <f t="shared" si="3"/>
        <v>1251.6199999999999</v>
      </c>
      <c r="C9" s="1268" t="s">
        <v>2595</v>
      </c>
      <c r="D9" s="1264">
        <f t="shared" si="3"/>
        <v>951.62</v>
      </c>
      <c r="E9" s="1268" t="s">
        <v>2595</v>
      </c>
      <c r="G9" s="13"/>
      <c r="H9" s="1266">
        <f t="shared" si="0"/>
        <v>2016</v>
      </c>
      <c r="I9" s="1262">
        <f t="shared" si="1"/>
        <v>440.47199999999998</v>
      </c>
      <c r="J9" s="1262">
        <f t="shared" si="2"/>
        <v>140.47200000000009</v>
      </c>
    </row>
    <row r="10" spans="1:10" x14ac:dyDescent="0.25">
      <c r="A10" s="1255">
        <v>2017</v>
      </c>
      <c r="B10" s="1262">
        <f t="shared" si="3"/>
        <v>1238.7149999999999</v>
      </c>
      <c r="C10" s="1268" t="s">
        <v>2595</v>
      </c>
      <c r="D10" s="1264">
        <f t="shared" si="3"/>
        <v>888.71499999999992</v>
      </c>
      <c r="E10" s="1268" t="s">
        <v>2595</v>
      </c>
      <c r="G10" s="13"/>
      <c r="H10" s="1266">
        <f t="shared" si="0"/>
        <v>2017</v>
      </c>
      <c r="I10" s="1262">
        <f t="shared" si="1"/>
        <v>427.56700000000001</v>
      </c>
      <c r="J10" s="1262">
        <f t="shared" si="2"/>
        <v>77.567000000000007</v>
      </c>
    </row>
    <row r="11" spans="1:10" x14ac:dyDescent="0.25">
      <c r="A11" s="1255">
        <v>2018</v>
      </c>
      <c r="B11" s="1262">
        <f t="shared" si="3"/>
        <v>1225.81</v>
      </c>
      <c r="C11" s="1268" t="s">
        <v>2595</v>
      </c>
      <c r="D11" s="1264">
        <f t="shared" si="3"/>
        <v>825.81</v>
      </c>
      <c r="E11" s="1268" t="s">
        <v>2595</v>
      </c>
      <c r="G11" s="13"/>
      <c r="H11" s="1266">
        <f t="shared" si="0"/>
        <v>2018</v>
      </c>
      <c r="I11" s="1262">
        <f t="shared" si="1"/>
        <v>414.66200000000003</v>
      </c>
      <c r="J11" s="1262">
        <f t="shared" si="2"/>
        <v>14.662000000000035</v>
      </c>
    </row>
    <row r="12" spans="1:10" x14ac:dyDescent="0.25">
      <c r="A12" s="1255">
        <v>2019</v>
      </c>
      <c r="B12" s="1262">
        <f t="shared" si="3"/>
        <v>1212.905</v>
      </c>
      <c r="C12" s="1268" t="s">
        <v>2595</v>
      </c>
      <c r="D12" s="1264">
        <f t="shared" si="3"/>
        <v>762.90499999999997</v>
      </c>
      <c r="E12" s="1268" t="s">
        <v>2595</v>
      </c>
      <c r="G12" s="13"/>
      <c r="H12" s="1266">
        <f t="shared" si="0"/>
        <v>2019</v>
      </c>
      <c r="I12" s="1262">
        <f t="shared" si="1"/>
        <v>401.75700000000006</v>
      </c>
      <c r="J12" s="1262">
        <f t="shared" si="2"/>
        <v>-48.242999999999938</v>
      </c>
    </row>
    <row r="13" spans="1:10" x14ac:dyDescent="0.25">
      <c r="A13" s="1255">
        <v>2020</v>
      </c>
      <c r="B13" s="1264">
        <v>1200</v>
      </c>
      <c r="C13" s="1263" t="s">
        <v>2605</v>
      </c>
      <c r="D13" s="1264">
        <v>700</v>
      </c>
      <c r="E13" s="1263" t="s">
        <v>2605</v>
      </c>
      <c r="G13" s="13"/>
      <c r="H13" s="1266">
        <f t="shared" si="0"/>
        <v>2020</v>
      </c>
      <c r="I13" s="1262">
        <f t="shared" si="1"/>
        <v>388.85200000000009</v>
      </c>
      <c r="J13" s="1262">
        <f t="shared" si="2"/>
        <v>-111.14799999999991</v>
      </c>
    </row>
    <row r="14" spans="1:10" x14ac:dyDescent="0.25">
      <c r="A14" s="1255">
        <v>2021</v>
      </c>
      <c r="B14" s="1262">
        <f>B$13+(B$23-B$13)/($A$23-$A$13)*($A14-$A$13)</f>
        <v>1185</v>
      </c>
      <c r="C14" s="1268" t="s">
        <v>2595</v>
      </c>
      <c r="D14" s="1262">
        <f>D$13+(D$23-D$13)/($A$23-$A$13)*($A14-$A$13)</f>
        <v>657</v>
      </c>
      <c r="E14" s="1268" t="s">
        <v>2595</v>
      </c>
      <c r="G14" s="1269"/>
      <c r="H14" s="1266">
        <f t="shared" si="0"/>
        <v>2021</v>
      </c>
      <c r="I14" s="1262">
        <f t="shared" si="1"/>
        <v>373.85200000000009</v>
      </c>
      <c r="J14" s="1262">
        <f>D14+$G$3</f>
        <v>-154.14799999999991</v>
      </c>
    </row>
    <row r="15" spans="1:10" x14ac:dyDescent="0.25">
      <c r="A15" s="1255">
        <v>2022</v>
      </c>
      <c r="B15" s="1262">
        <f t="shared" ref="B15:B22" si="4">B$13+(B$23-B$13)/($A$23-$A$13)*($A15-$A$13)</f>
        <v>1170</v>
      </c>
      <c r="C15" s="1268" t="s">
        <v>2595</v>
      </c>
      <c r="D15" s="1262">
        <f t="shared" ref="D15:D22" si="5">D$13+(D$23-D$13)/($A$23-$A$13)*($A15-$A$13)</f>
        <v>614</v>
      </c>
      <c r="E15" s="1268" t="s">
        <v>2595</v>
      </c>
      <c r="G15" s="1257"/>
      <c r="H15" s="1266">
        <f t="shared" si="0"/>
        <v>2022</v>
      </c>
      <c r="I15" s="1262">
        <f t="shared" si="1"/>
        <v>358.85200000000009</v>
      </c>
      <c r="J15" s="1262">
        <f t="shared" si="2"/>
        <v>-197.14799999999991</v>
      </c>
    </row>
    <row r="16" spans="1:10" x14ac:dyDescent="0.25">
      <c r="A16" s="1255">
        <v>2023</v>
      </c>
      <c r="B16" s="1262">
        <f t="shared" si="4"/>
        <v>1155</v>
      </c>
      <c r="C16" s="1268" t="s">
        <v>2595</v>
      </c>
      <c r="D16" s="1262">
        <f t="shared" si="5"/>
        <v>571</v>
      </c>
      <c r="E16" s="1268" t="s">
        <v>2595</v>
      </c>
      <c r="G16" s="1257"/>
      <c r="H16" s="1266">
        <f t="shared" si="0"/>
        <v>2023</v>
      </c>
      <c r="I16" s="1262">
        <f t="shared" si="1"/>
        <v>343.85200000000009</v>
      </c>
      <c r="J16" s="1262">
        <f t="shared" si="2"/>
        <v>-240.14799999999991</v>
      </c>
    </row>
    <row r="17" spans="1:10" x14ac:dyDescent="0.25">
      <c r="A17" s="1255">
        <v>2024</v>
      </c>
      <c r="B17" s="1262">
        <f t="shared" si="4"/>
        <v>1140</v>
      </c>
      <c r="C17" s="1268" t="s">
        <v>2595</v>
      </c>
      <c r="D17" s="1262">
        <f t="shared" si="5"/>
        <v>528</v>
      </c>
      <c r="E17" s="1268" t="s">
        <v>2595</v>
      </c>
      <c r="H17" s="1266">
        <f t="shared" si="0"/>
        <v>2024</v>
      </c>
      <c r="I17" s="1262">
        <f t="shared" si="1"/>
        <v>328.85200000000009</v>
      </c>
      <c r="J17" s="1262">
        <f t="shared" si="2"/>
        <v>-283.14799999999991</v>
      </c>
    </row>
    <row r="18" spans="1:10" x14ac:dyDescent="0.25">
      <c r="A18" s="1255">
        <v>2025</v>
      </c>
      <c r="B18" s="1262">
        <f t="shared" si="4"/>
        <v>1125</v>
      </c>
      <c r="C18" s="1268" t="s">
        <v>2595</v>
      </c>
      <c r="D18" s="1262">
        <f t="shared" si="5"/>
        <v>485</v>
      </c>
      <c r="E18" s="1268" t="s">
        <v>2595</v>
      </c>
      <c r="H18" s="1266">
        <f t="shared" si="0"/>
        <v>2025</v>
      </c>
      <c r="I18" s="1262">
        <f t="shared" si="1"/>
        <v>313.85200000000009</v>
      </c>
      <c r="J18" s="1262">
        <f t="shared" si="2"/>
        <v>-326.14799999999991</v>
      </c>
    </row>
    <row r="19" spans="1:10" x14ac:dyDescent="0.25">
      <c r="A19" s="1255">
        <v>2026</v>
      </c>
      <c r="B19" s="1262">
        <f t="shared" si="4"/>
        <v>1110</v>
      </c>
      <c r="C19" s="1268" t="s">
        <v>2595</v>
      </c>
      <c r="D19" s="1262">
        <f t="shared" si="5"/>
        <v>442</v>
      </c>
      <c r="E19" s="1268" t="s">
        <v>2595</v>
      </c>
      <c r="H19" s="1266">
        <f t="shared" si="0"/>
        <v>2026</v>
      </c>
      <c r="I19" s="1262">
        <f t="shared" si="1"/>
        <v>298.85200000000009</v>
      </c>
      <c r="J19" s="1262">
        <f t="shared" si="2"/>
        <v>-369.14799999999991</v>
      </c>
    </row>
    <row r="20" spans="1:10" x14ac:dyDescent="0.25">
      <c r="A20" s="1255">
        <v>2027</v>
      </c>
      <c r="B20" s="1262">
        <f t="shared" si="4"/>
        <v>1095</v>
      </c>
      <c r="C20" s="1268" t="s">
        <v>2595</v>
      </c>
      <c r="D20" s="1262">
        <f t="shared" si="5"/>
        <v>399</v>
      </c>
      <c r="E20" s="1268" t="s">
        <v>2595</v>
      </c>
      <c r="H20" s="1266">
        <f t="shared" si="0"/>
        <v>2027</v>
      </c>
      <c r="I20" s="1262">
        <f t="shared" si="1"/>
        <v>283.85200000000009</v>
      </c>
      <c r="J20" s="1262">
        <f t="shared" si="2"/>
        <v>-412.14799999999991</v>
      </c>
    </row>
    <row r="21" spans="1:10" x14ac:dyDescent="0.25">
      <c r="A21" s="1255">
        <v>2028</v>
      </c>
      <c r="B21" s="1262">
        <f t="shared" si="4"/>
        <v>1080</v>
      </c>
      <c r="C21" s="1268" t="s">
        <v>2595</v>
      </c>
      <c r="D21" s="1262">
        <f t="shared" si="5"/>
        <v>356</v>
      </c>
      <c r="E21" s="1268" t="s">
        <v>2595</v>
      </c>
      <c r="H21" s="1266">
        <f t="shared" si="0"/>
        <v>2028</v>
      </c>
      <c r="I21" s="1262">
        <f t="shared" si="1"/>
        <v>268.85200000000009</v>
      </c>
      <c r="J21" s="1262">
        <f t="shared" si="2"/>
        <v>-455.14799999999991</v>
      </c>
    </row>
    <row r="22" spans="1:10" x14ac:dyDescent="0.25">
      <c r="A22" s="1255">
        <v>2029</v>
      </c>
      <c r="B22" s="1262">
        <f t="shared" si="4"/>
        <v>1065</v>
      </c>
      <c r="C22" s="1268" t="s">
        <v>2595</v>
      </c>
      <c r="D22" s="1262">
        <f t="shared" si="5"/>
        <v>313</v>
      </c>
      <c r="E22" s="1268" t="s">
        <v>2595</v>
      </c>
      <c r="H22" s="1266">
        <f t="shared" si="0"/>
        <v>2029</v>
      </c>
      <c r="I22" s="1262">
        <f t="shared" si="1"/>
        <v>253.85200000000009</v>
      </c>
      <c r="J22" s="1262">
        <f t="shared" si="2"/>
        <v>-498.14799999999991</v>
      </c>
    </row>
    <row r="23" spans="1:10" x14ac:dyDescent="0.25">
      <c r="A23" s="1255">
        <v>2030</v>
      </c>
      <c r="B23" s="1262">
        <v>1050</v>
      </c>
      <c r="C23" s="1263" t="s">
        <v>2605</v>
      </c>
      <c r="D23" s="1262">
        <v>270</v>
      </c>
      <c r="E23" s="1263" t="s">
        <v>2605</v>
      </c>
      <c r="H23" s="1266">
        <f t="shared" si="0"/>
        <v>2030</v>
      </c>
      <c r="I23" s="1262">
        <f t="shared" si="1"/>
        <v>238.85200000000009</v>
      </c>
      <c r="J23" s="1262">
        <f t="shared" si="2"/>
        <v>-541.14799999999991</v>
      </c>
    </row>
    <row r="24" spans="1:10" x14ac:dyDescent="0.25">
      <c r="F24" s="4"/>
    </row>
    <row r="25" spans="1:10" x14ac:dyDescent="0.25">
      <c r="A25" s="1272" t="s">
        <v>2606</v>
      </c>
    </row>
  </sheetData>
  <mergeCells count="1">
    <mergeCell ref="G1:J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23"/>
  <sheetViews>
    <sheetView workbookViewId="0">
      <selection activeCell="B8" sqref="B8"/>
    </sheetView>
  </sheetViews>
  <sheetFormatPr defaultRowHeight="15" x14ac:dyDescent="0.25"/>
  <cols>
    <col min="1" max="11" width="9.140625" style="534"/>
    <col min="12" max="12" width="10.42578125" style="534" customWidth="1"/>
    <col min="13" max="16384" width="9.140625" style="534"/>
  </cols>
  <sheetData>
    <row r="1" spans="1:15" x14ac:dyDescent="0.25">
      <c r="A1" s="1273" t="s">
        <v>2598</v>
      </c>
      <c r="B1" s="536"/>
      <c r="C1" s="536"/>
      <c r="D1" s="12"/>
      <c r="E1" s="12"/>
      <c r="G1" s="1296" t="s">
        <v>2599</v>
      </c>
      <c r="H1" s="1296"/>
      <c r="I1" s="1296"/>
      <c r="J1" s="1296"/>
      <c r="K1" s="1257"/>
      <c r="L1" s="1296" t="s">
        <v>2587</v>
      </c>
      <c r="M1" s="1296"/>
      <c r="N1" s="1296"/>
      <c r="O1" s="1296"/>
    </row>
    <row r="2" spans="1:15" x14ac:dyDescent="0.25">
      <c r="A2" s="1258" t="s">
        <v>2588</v>
      </c>
      <c r="B2" s="1259" t="s">
        <v>2589</v>
      </c>
      <c r="C2" s="1258" t="s">
        <v>2590</v>
      </c>
      <c r="D2" s="1259" t="s">
        <v>2591</v>
      </c>
      <c r="E2" s="1258" t="s">
        <v>2590</v>
      </c>
      <c r="G2" s="1261" t="s">
        <v>2592</v>
      </c>
      <c r="H2" s="1258" t="s">
        <v>2588</v>
      </c>
      <c r="I2" s="1258" t="str">
        <f>B2</f>
        <v xml:space="preserve">NoPolicy </v>
      </c>
      <c r="J2" s="1258" t="str">
        <f>D2</f>
        <v xml:space="preserve">NPi </v>
      </c>
      <c r="K2" s="1260"/>
      <c r="L2" s="1261" t="s">
        <v>2592</v>
      </c>
      <c r="M2" s="1258" t="s">
        <v>2588</v>
      </c>
      <c r="N2" s="1258" t="s">
        <v>2589</v>
      </c>
      <c r="O2" s="1258" t="s">
        <v>2591</v>
      </c>
    </row>
    <row r="3" spans="1:15" x14ac:dyDescent="0.25">
      <c r="A3" s="1255">
        <v>2010</v>
      </c>
      <c r="B3" s="1262"/>
      <c r="C3" s="1267"/>
      <c r="D3" s="1264"/>
      <c r="E3" s="1267"/>
      <c r="G3" s="1265">
        <f>G5-B8</f>
        <v>218</v>
      </c>
      <c r="H3" s="1266">
        <f>A3</f>
        <v>2010</v>
      </c>
      <c r="I3" s="1262"/>
      <c r="J3" s="1262"/>
      <c r="K3" s="1257"/>
      <c r="L3" s="1265">
        <f>L5-B8</f>
        <v>121.88382559999999</v>
      </c>
      <c r="M3" s="1266">
        <f>A3</f>
        <v>2010</v>
      </c>
      <c r="N3" s="1264">
        <f>(30444.4398+75155.5602)/1000</f>
        <v>105.6</v>
      </c>
      <c r="O3" s="1264">
        <f>(30444.4398+75155.5602)/1000</f>
        <v>105.6</v>
      </c>
    </row>
    <row r="4" spans="1:15" x14ac:dyDescent="0.25">
      <c r="A4" s="1255">
        <v>2011</v>
      </c>
      <c r="B4" s="1262"/>
      <c r="C4" s="1277"/>
      <c r="D4" s="1264"/>
      <c r="E4" s="1277"/>
      <c r="G4" s="1261" t="s">
        <v>2601</v>
      </c>
      <c r="H4" s="1266">
        <f t="shared" ref="H4:H23" si="0">A4</f>
        <v>2011</v>
      </c>
      <c r="I4" s="1262"/>
      <c r="J4" s="1262"/>
      <c r="K4" s="1257"/>
      <c r="L4" s="1261" t="s">
        <v>2607</v>
      </c>
      <c r="M4" s="1266">
        <f t="shared" ref="M4:M23" si="1">A4</f>
        <v>2011</v>
      </c>
      <c r="N4" s="1264">
        <f t="shared" ref="N4:O7" si="2">(-53445.6675+60329.4931)/1000</f>
        <v>6.8838255999999962</v>
      </c>
      <c r="O4" s="1264">
        <f t="shared" si="2"/>
        <v>6.8838255999999962</v>
      </c>
    </row>
    <row r="5" spans="1:15" x14ac:dyDescent="0.25">
      <c r="A5" s="1255">
        <v>2012</v>
      </c>
      <c r="B5" s="1262"/>
      <c r="C5" s="1277"/>
      <c r="D5" s="1264"/>
      <c r="E5" s="1277"/>
      <c r="G5" s="1261">
        <v>103</v>
      </c>
      <c r="H5" s="1266">
        <f t="shared" si="0"/>
        <v>2012</v>
      </c>
      <c r="I5" s="1262"/>
      <c r="J5" s="1262"/>
      <c r="K5" s="1257"/>
      <c r="L5" s="1269">
        <f>(-53445.6675+60329.4931)/1000</f>
        <v>6.8838255999999962</v>
      </c>
      <c r="M5" s="1266">
        <f t="shared" si="1"/>
        <v>2012</v>
      </c>
      <c r="N5" s="1264">
        <f t="shared" si="2"/>
        <v>6.8838255999999962</v>
      </c>
      <c r="O5" s="1264">
        <f t="shared" si="2"/>
        <v>6.8838255999999962</v>
      </c>
    </row>
    <row r="6" spans="1:15" x14ac:dyDescent="0.25">
      <c r="A6" s="1255">
        <v>2013</v>
      </c>
      <c r="B6" s="1262"/>
      <c r="C6" s="1277"/>
      <c r="D6" s="1264"/>
      <c r="E6" s="1277"/>
      <c r="G6" s="13"/>
      <c r="H6" s="1266">
        <f t="shared" si="0"/>
        <v>2013</v>
      </c>
      <c r="I6" s="1262"/>
      <c r="J6" s="1262"/>
      <c r="K6" s="1257"/>
      <c r="L6" s="13"/>
      <c r="M6" s="1266">
        <f t="shared" si="1"/>
        <v>2013</v>
      </c>
      <c r="N6" s="1264">
        <f t="shared" si="2"/>
        <v>6.8838255999999962</v>
      </c>
      <c r="O6" s="1264">
        <f t="shared" si="2"/>
        <v>6.8838255999999962</v>
      </c>
    </row>
    <row r="7" spans="1:15" x14ac:dyDescent="0.25">
      <c r="A7" s="1255">
        <v>2014</v>
      </c>
      <c r="B7" s="1262"/>
      <c r="C7" s="1277"/>
      <c r="D7" s="1264"/>
      <c r="E7" s="1277"/>
      <c r="G7" s="13"/>
      <c r="H7" s="1266">
        <f t="shared" si="0"/>
        <v>2014</v>
      </c>
      <c r="I7" s="1262"/>
      <c r="J7" s="1262"/>
      <c r="K7" s="1257"/>
      <c r="L7" s="13"/>
      <c r="M7" s="1266">
        <f t="shared" si="1"/>
        <v>2014</v>
      </c>
      <c r="N7" s="1264">
        <f t="shared" si="2"/>
        <v>6.8838255999999962</v>
      </c>
      <c r="O7" s="1264">
        <f t="shared" si="2"/>
        <v>6.8838255999999962</v>
      </c>
    </row>
    <row r="8" spans="1:15" x14ac:dyDescent="0.25">
      <c r="A8" s="1255">
        <v>2015</v>
      </c>
      <c r="B8" s="1262">
        <v>-115</v>
      </c>
      <c r="C8" s="1267" t="s">
        <v>2608</v>
      </c>
      <c r="D8" s="1264">
        <f>B8</f>
        <v>-115</v>
      </c>
      <c r="E8" s="1267" t="s">
        <v>2608</v>
      </c>
      <c r="G8" s="13"/>
      <c r="H8" s="1266">
        <f t="shared" si="0"/>
        <v>2015</v>
      </c>
      <c r="I8" s="1262">
        <f t="shared" ref="I8" si="3">B8+$G$3</f>
        <v>103</v>
      </c>
      <c r="J8" s="1262">
        <f t="shared" ref="J8:J23" si="4">D8+$G$3</f>
        <v>103</v>
      </c>
      <c r="K8" s="1257"/>
      <c r="L8" s="13"/>
      <c r="M8" s="1266">
        <f t="shared" si="1"/>
        <v>2015</v>
      </c>
      <c r="N8" s="1262">
        <f t="shared" ref="N8" si="5">B8+$L$3</f>
        <v>6.8838255999999944</v>
      </c>
      <c r="O8" s="1262">
        <f t="shared" ref="O8:O23" si="6">D8+$L$3</f>
        <v>6.8838255999999944</v>
      </c>
    </row>
    <row r="9" spans="1:15" x14ac:dyDescent="0.25">
      <c r="A9" s="1255">
        <v>2016</v>
      </c>
      <c r="B9" s="1267" t="s">
        <v>2594</v>
      </c>
      <c r="C9" s="1267" t="s">
        <v>2594</v>
      </c>
      <c r="D9" s="1264">
        <f>D$8+(D$13-D$8)/5*1</f>
        <v>-117.6</v>
      </c>
      <c r="E9" s="1277" t="s">
        <v>2595</v>
      </c>
      <c r="G9" s="13"/>
      <c r="H9" s="1266">
        <f t="shared" si="0"/>
        <v>2016</v>
      </c>
      <c r="I9" s="1267" t="s">
        <v>2594</v>
      </c>
      <c r="J9" s="1262">
        <f t="shared" si="4"/>
        <v>100.4</v>
      </c>
      <c r="K9" s="1257"/>
      <c r="L9" s="13"/>
      <c r="M9" s="1266">
        <f t="shared" si="1"/>
        <v>2016</v>
      </c>
      <c r="N9" s="1267" t="s">
        <v>2594</v>
      </c>
      <c r="O9" s="1262">
        <f t="shared" si="6"/>
        <v>4.2838256000000001</v>
      </c>
    </row>
    <row r="10" spans="1:15" x14ac:dyDescent="0.25">
      <c r="A10" s="1255">
        <v>2017</v>
      </c>
      <c r="B10" s="1267" t="s">
        <v>2594</v>
      </c>
      <c r="C10" s="1267" t="s">
        <v>2594</v>
      </c>
      <c r="D10" s="1264">
        <f>D$8+(D$13-D$8)/5*2</f>
        <v>-120.2</v>
      </c>
      <c r="E10" s="1277" t="s">
        <v>2595</v>
      </c>
      <c r="G10" s="13"/>
      <c r="H10" s="1266">
        <f t="shared" si="0"/>
        <v>2017</v>
      </c>
      <c r="I10" s="1267" t="s">
        <v>2594</v>
      </c>
      <c r="J10" s="1262">
        <f t="shared" si="4"/>
        <v>97.8</v>
      </c>
      <c r="K10" s="1257"/>
      <c r="L10" s="13"/>
      <c r="M10" s="1266">
        <f t="shared" si="1"/>
        <v>2017</v>
      </c>
      <c r="N10" s="1267" t="s">
        <v>2594</v>
      </c>
      <c r="O10" s="1262">
        <f t="shared" si="6"/>
        <v>1.6838255999999916</v>
      </c>
    </row>
    <row r="11" spans="1:15" x14ac:dyDescent="0.25">
      <c r="A11" s="1255">
        <v>2018</v>
      </c>
      <c r="B11" s="1267" t="s">
        <v>2594</v>
      </c>
      <c r="C11" s="1267" t="s">
        <v>2594</v>
      </c>
      <c r="D11" s="1264">
        <f>D$8+(D$13-D$8)/5*3</f>
        <v>-122.8</v>
      </c>
      <c r="E11" s="1277" t="s">
        <v>2595</v>
      </c>
      <c r="G11" s="13"/>
      <c r="H11" s="1266">
        <f t="shared" si="0"/>
        <v>2018</v>
      </c>
      <c r="I11" s="1267" t="s">
        <v>2594</v>
      </c>
      <c r="J11" s="1262">
        <f t="shared" si="4"/>
        <v>95.2</v>
      </c>
      <c r="K11" s="1257"/>
      <c r="L11" s="13"/>
      <c r="M11" s="1266">
        <f t="shared" si="1"/>
        <v>2018</v>
      </c>
      <c r="N11" s="1267" t="s">
        <v>2594</v>
      </c>
      <c r="O11" s="1262">
        <f t="shared" si="6"/>
        <v>-0.91617440000000272</v>
      </c>
    </row>
    <row r="12" spans="1:15" x14ac:dyDescent="0.25">
      <c r="A12" s="1255">
        <v>2019</v>
      </c>
      <c r="B12" s="1267" t="s">
        <v>2594</v>
      </c>
      <c r="C12" s="1267" t="s">
        <v>2594</v>
      </c>
      <c r="D12" s="1264">
        <f>D$8+(D$13-D$8)/5*4</f>
        <v>-125.4</v>
      </c>
      <c r="E12" s="1277" t="s">
        <v>2595</v>
      </c>
      <c r="G12" s="13"/>
      <c r="H12" s="1266">
        <f t="shared" si="0"/>
        <v>2019</v>
      </c>
      <c r="I12" s="1267" t="s">
        <v>2594</v>
      </c>
      <c r="J12" s="1262">
        <f t="shared" si="4"/>
        <v>92.6</v>
      </c>
      <c r="K12" s="1257"/>
      <c r="L12" s="13"/>
      <c r="M12" s="1266">
        <f t="shared" si="1"/>
        <v>2019</v>
      </c>
      <c r="N12" s="1267" t="s">
        <v>2594</v>
      </c>
      <c r="O12" s="1262">
        <f t="shared" si="6"/>
        <v>-3.5161744000000112</v>
      </c>
    </row>
    <row r="13" spans="1:15" x14ac:dyDescent="0.25">
      <c r="A13" s="1255">
        <v>2020</v>
      </c>
      <c r="B13" s="1267" t="s">
        <v>2594</v>
      </c>
      <c r="C13" s="1267" t="s">
        <v>2594</v>
      </c>
      <c r="D13" s="1262">
        <v>-128</v>
      </c>
      <c r="E13" s="1267" t="s">
        <v>2608</v>
      </c>
      <c r="G13" s="13"/>
      <c r="H13" s="1266">
        <f t="shared" si="0"/>
        <v>2020</v>
      </c>
      <c r="I13" s="1267" t="s">
        <v>2594</v>
      </c>
      <c r="J13" s="1262">
        <f t="shared" si="4"/>
        <v>90</v>
      </c>
      <c r="K13" s="1257"/>
      <c r="L13" s="13"/>
      <c r="M13" s="1266">
        <f t="shared" si="1"/>
        <v>2020</v>
      </c>
      <c r="N13" s="1267" t="s">
        <v>2594</v>
      </c>
      <c r="O13" s="1262">
        <f t="shared" si="6"/>
        <v>-6.1161744000000056</v>
      </c>
    </row>
    <row r="14" spans="1:15" x14ac:dyDescent="0.25">
      <c r="A14" s="1255">
        <v>2021</v>
      </c>
      <c r="B14" s="1267" t="s">
        <v>2594</v>
      </c>
      <c r="C14" s="1267" t="s">
        <v>2594</v>
      </c>
      <c r="D14" s="1264">
        <f>D$13+(D$23-D$13)/($A$23-$A$13)*($A14-$A$13)</f>
        <v>-129.4</v>
      </c>
      <c r="E14" s="1277" t="s">
        <v>2595</v>
      </c>
      <c r="G14" s="13"/>
      <c r="H14" s="1266">
        <f t="shared" si="0"/>
        <v>2021</v>
      </c>
      <c r="I14" s="1267" t="s">
        <v>2594</v>
      </c>
      <c r="J14" s="1262">
        <f t="shared" si="4"/>
        <v>88.6</v>
      </c>
      <c r="K14" s="1257"/>
      <c r="L14" s="1257"/>
      <c r="M14" s="1266">
        <f t="shared" si="1"/>
        <v>2021</v>
      </c>
      <c r="N14" s="1267" t="s">
        <v>2594</v>
      </c>
      <c r="O14" s="1262">
        <f t="shared" si="6"/>
        <v>-7.5161744000000112</v>
      </c>
    </row>
    <row r="15" spans="1:15" x14ac:dyDescent="0.25">
      <c r="A15" s="1255">
        <v>2022</v>
      </c>
      <c r="B15" s="1267" t="s">
        <v>2594</v>
      </c>
      <c r="C15" s="1267" t="s">
        <v>2594</v>
      </c>
      <c r="D15" s="1264">
        <f t="shared" ref="D15:D22" si="7">D$13+(D$23-D$13)/($A$23-$A$13)*($A15-$A$13)</f>
        <v>-130.80000000000001</v>
      </c>
      <c r="E15" s="1277" t="s">
        <v>2595</v>
      </c>
      <c r="G15" s="13"/>
      <c r="H15" s="1266">
        <f t="shared" si="0"/>
        <v>2022</v>
      </c>
      <c r="I15" s="1267" t="s">
        <v>2594</v>
      </c>
      <c r="J15" s="1262">
        <f t="shared" si="4"/>
        <v>87.199999999999989</v>
      </c>
      <c r="K15" s="1257"/>
      <c r="L15" s="1257"/>
      <c r="M15" s="1266">
        <f t="shared" si="1"/>
        <v>2022</v>
      </c>
      <c r="N15" s="1267" t="s">
        <v>2594</v>
      </c>
      <c r="O15" s="1262">
        <f t="shared" si="6"/>
        <v>-8.9161744000000169</v>
      </c>
    </row>
    <row r="16" spans="1:15" x14ac:dyDescent="0.25">
      <c r="A16" s="1255">
        <v>2023</v>
      </c>
      <c r="B16" s="1267" t="s">
        <v>2594</v>
      </c>
      <c r="C16" s="1267" t="s">
        <v>2594</v>
      </c>
      <c r="D16" s="1264">
        <f t="shared" si="7"/>
        <v>-132.19999999999999</v>
      </c>
      <c r="E16" s="1277" t="s">
        <v>2595</v>
      </c>
      <c r="G16" s="13"/>
      <c r="H16" s="1266">
        <f t="shared" si="0"/>
        <v>2023</v>
      </c>
      <c r="I16" s="1267" t="s">
        <v>2594</v>
      </c>
      <c r="J16" s="1262">
        <f t="shared" si="4"/>
        <v>85.800000000000011</v>
      </c>
      <c r="K16" s="1257"/>
      <c r="L16" s="1257"/>
      <c r="M16" s="1266">
        <f t="shared" si="1"/>
        <v>2023</v>
      </c>
      <c r="N16" s="1267" t="s">
        <v>2594</v>
      </c>
      <c r="O16" s="1262">
        <f t="shared" si="6"/>
        <v>-10.316174399999994</v>
      </c>
    </row>
    <row r="17" spans="1:15" x14ac:dyDescent="0.25">
      <c r="A17" s="1255">
        <v>2024</v>
      </c>
      <c r="B17" s="1267" t="s">
        <v>2594</v>
      </c>
      <c r="C17" s="1267" t="s">
        <v>2594</v>
      </c>
      <c r="D17" s="1264">
        <f t="shared" si="7"/>
        <v>-133.6</v>
      </c>
      <c r="E17" s="1277" t="s">
        <v>2595</v>
      </c>
      <c r="G17" s="13"/>
      <c r="H17" s="1266">
        <f t="shared" si="0"/>
        <v>2024</v>
      </c>
      <c r="I17" s="1267" t="s">
        <v>2594</v>
      </c>
      <c r="J17" s="1262">
        <f t="shared" si="4"/>
        <v>84.4</v>
      </c>
      <c r="K17" s="1257"/>
      <c r="M17" s="1266">
        <f t="shared" si="1"/>
        <v>2024</v>
      </c>
      <c r="N17" s="1267" t="s">
        <v>2594</v>
      </c>
      <c r="O17" s="1262">
        <f t="shared" si="6"/>
        <v>-11.7161744</v>
      </c>
    </row>
    <row r="18" spans="1:15" x14ac:dyDescent="0.25">
      <c r="A18" s="1255">
        <v>2025</v>
      </c>
      <c r="B18" s="1267" t="s">
        <v>2594</v>
      </c>
      <c r="C18" s="1267" t="s">
        <v>2594</v>
      </c>
      <c r="D18" s="1264">
        <f t="shared" si="7"/>
        <v>-135</v>
      </c>
      <c r="E18" s="1277" t="s">
        <v>2595</v>
      </c>
      <c r="G18" s="13"/>
      <c r="H18" s="1266">
        <f t="shared" si="0"/>
        <v>2025</v>
      </c>
      <c r="I18" s="1267" t="s">
        <v>2594</v>
      </c>
      <c r="J18" s="1262">
        <f t="shared" si="4"/>
        <v>83</v>
      </c>
      <c r="K18" s="1257"/>
      <c r="M18" s="1266">
        <f t="shared" si="1"/>
        <v>2025</v>
      </c>
      <c r="N18" s="1267" t="s">
        <v>2594</v>
      </c>
      <c r="O18" s="1262">
        <f t="shared" si="6"/>
        <v>-13.116174400000006</v>
      </c>
    </row>
    <row r="19" spans="1:15" x14ac:dyDescent="0.25">
      <c r="A19" s="1255">
        <v>2026</v>
      </c>
      <c r="B19" s="1267" t="s">
        <v>2594</v>
      </c>
      <c r="C19" s="1267" t="s">
        <v>2594</v>
      </c>
      <c r="D19" s="1264">
        <f t="shared" si="7"/>
        <v>-136.4</v>
      </c>
      <c r="E19" s="1277" t="s">
        <v>2595</v>
      </c>
      <c r="G19" s="13"/>
      <c r="H19" s="1266">
        <f t="shared" si="0"/>
        <v>2026</v>
      </c>
      <c r="I19" s="1267" t="s">
        <v>2594</v>
      </c>
      <c r="J19" s="1262">
        <f t="shared" si="4"/>
        <v>81.599999999999994</v>
      </c>
      <c r="K19" s="1257"/>
      <c r="M19" s="1266">
        <f t="shared" si="1"/>
        <v>2026</v>
      </c>
      <c r="N19" s="1267" t="s">
        <v>2594</v>
      </c>
      <c r="O19" s="1262">
        <f t="shared" si="6"/>
        <v>-14.516174400000011</v>
      </c>
    </row>
    <row r="20" spans="1:15" x14ac:dyDescent="0.25">
      <c r="A20" s="1255">
        <v>2027</v>
      </c>
      <c r="B20" s="1267" t="s">
        <v>2594</v>
      </c>
      <c r="C20" s="1267" t="s">
        <v>2594</v>
      </c>
      <c r="D20" s="1264">
        <f t="shared" si="7"/>
        <v>-137.80000000000001</v>
      </c>
      <c r="E20" s="1277" t="s">
        <v>2595</v>
      </c>
      <c r="G20" s="13"/>
      <c r="H20" s="1266">
        <f t="shared" si="0"/>
        <v>2027</v>
      </c>
      <c r="I20" s="1267" t="s">
        <v>2594</v>
      </c>
      <c r="J20" s="1262">
        <f t="shared" si="4"/>
        <v>80.199999999999989</v>
      </c>
      <c r="K20" s="1257"/>
      <c r="M20" s="1266">
        <f t="shared" si="1"/>
        <v>2027</v>
      </c>
      <c r="N20" s="1267" t="s">
        <v>2594</v>
      </c>
      <c r="O20" s="1262">
        <f t="shared" si="6"/>
        <v>-15.916174400000017</v>
      </c>
    </row>
    <row r="21" spans="1:15" x14ac:dyDescent="0.25">
      <c r="A21" s="1255">
        <v>2028</v>
      </c>
      <c r="B21" s="1267" t="s">
        <v>2594</v>
      </c>
      <c r="C21" s="1267" t="s">
        <v>2594</v>
      </c>
      <c r="D21" s="1264">
        <f t="shared" si="7"/>
        <v>-139.19999999999999</v>
      </c>
      <c r="E21" s="1277" t="s">
        <v>2595</v>
      </c>
      <c r="G21" s="13"/>
      <c r="H21" s="1266">
        <f t="shared" si="0"/>
        <v>2028</v>
      </c>
      <c r="I21" s="1267" t="s">
        <v>2594</v>
      </c>
      <c r="J21" s="1262">
        <f t="shared" si="4"/>
        <v>78.800000000000011</v>
      </c>
      <c r="K21" s="1257"/>
      <c r="M21" s="1266">
        <f t="shared" si="1"/>
        <v>2028</v>
      </c>
      <c r="N21" s="1267" t="s">
        <v>2594</v>
      </c>
      <c r="O21" s="1262">
        <f t="shared" si="6"/>
        <v>-17.316174399999994</v>
      </c>
    </row>
    <row r="22" spans="1:15" x14ac:dyDescent="0.25">
      <c r="A22" s="1255">
        <v>2029</v>
      </c>
      <c r="B22" s="1267" t="s">
        <v>2594</v>
      </c>
      <c r="C22" s="1267" t="s">
        <v>2594</v>
      </c>
      <c r="D22" s="1264">
        <f t="shared" si="7"/>
        <v>-140.6</v>
      </c>
      <c r="E22" s="1277" t="s">
        <v>2595</v>
      </c>
      <c r="G22" s="13"/>
      <c r="H22" s="1266">
        <f t="shared" si="0"/>
        <v>2029</v>
      </c>
      <c r="I22" s="1267" t="s">
        <v>2594</v>
      </c>
      <c r="J22" s="1262">
        <f t="shared" si="4"/>
        <v>77.400000000000006</v>
      </c>
      <c r="K22" s="1257"/>
      <c r="M22" s="1266">
        <f t="shared" si="1"/>
        <v>2029</v>
      </c>
      <c r="N22" s="1267" t="s">
        <v>2594</v>
      </c>
      <c r="O22" s="1262">
        <f t="shared" si="6"/>
        <v>-18.7161744</v>
      </c>
    </row>
    <row r="23" spans="1:15" x14ac:dyDescent="0.25">
      <c r="A23" s="1255">
        <v>2030</v>
      </c>
      <c r="B23" s="1267" t="s">
        <v>2594</v>
      </c>
      <c r="C23" s="1267" t="s">
        <v>2594</v>
      </c>
      <c r="D23" s="1264">
        <v>-142</v>
      </c>
      <c r="E23" s="1267" t="s">
        <v>2608</v>
      </c>
      <c r="G23" s="13"/>
      <c r="H23" s="1266">
        <f t="shared" si="0"/>
        <v>2030</v>
      </c>
      <c r="I23" s="1267" t="s">
        <v>2594</v>
      </c>
      <c r="J23" s="1262">
        <f t="shared" si="4"/>
        <v>76</v>
      </c>
      <c r="K23" s="1257"/>
      <c r="M23" s="1266">
        <f t="shared" si="1"/>
        <v>2030</v>
      </c>
      <c r="N23" s="1267" t="s">
        <v>2594</v>
      </c>
      <c r="O23" s="1262">
        <f t="shared" si="6"/>
        <v>-20.116174400000006</v>
      </c>
    </row>
  </sheetData>
  <mergeCells count="2">
    <mergeCell ref="G1:J1"/>
    <mergeCell ref="L1:O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25"/>
  <sheetViews>
    <sheetView workbookViewId="0">
      <selection activeCell="B8" sqref="B8"/>
    </sheetView>
  </sheetViews>
  <sheetFormatPr defaultRowHeight="15" x14ac:dyDescent="0.25"/>
  <cols>
    <col min="1" max="6" width="9.140625" style="534"/>
    <col min="7" max="7" width="10.28515625" style="534" customWidth="1"/>
    <col min="8" max="16384" width="9.140625" style="534"/>
  </cols>
  <sheetData>
    <row r="1" spans="1:10" x14ac:dyDescent="0.25">
      <c r="A1" s="1254" t="s">
        <v>2586</v>
      </c>
      <c r="B1" s="1255"/>
      <c r="C1" s="1255"/>
      <c r="D1" s="1256"/>
      <c r="E1" s="1256"/>
      <c r="G1" s="1296" t="s">
        <v>2587</v>
      </c>
      <c r="H1" s="1296"/>
      <c r="I1" s="1296"/>
      <c r="J1" s="1296"/>
    </row>
    <row r="2" spans="1:10" x14ac:dyDescent="0.25">
      <c r="A2" s="1258" t="s">
        <v>2588</v>
      </c>
      <c r="B2" s="1259" t="s">
        <v>2589</v>
      </c>
      <c r="C2" s="1259" t="s">
        <v>2590</v>
      </c>
      <c r="D2" s="1259" t="s">
        <v>2591</v>
      </c>
      <c r="E2" s="1258" t="s">
        <v>2590</v>
      </c>
      <c r="G2" s="1261" t="s">
        <v>2592</v>
      </c>
      <c r="H2" s="1258" t="s">
        <v>2588</v>
      </c>
      <c r="I2" s="1258" t="str">
        <f>B2</f>
        <v xml:space="preserve">NoPolicy </v>
      </c>
      <c r="J2" s="1258" t="str">
        <f>D2</f>
        <v xml:space="preserve">NPi </v>
      </c>
    </row>
    <row r="3" spans="1:10" x14ac:dyDescent="0.25">
      <c r="A3" s="1255">
        <v>2010</v>
      </c>
      <c r="B3" s="1262">
        <v>-421</v>
      </c>
      <c r="C3" s="1263" t="s">
        <v>1376</v>
      </c>
      <c r="D3" s="1264">
        <f>B3</f>
        <v>-421</v>
      </c>
      <c r="E3" s="1263" t="s">
        <v>1376</v>
      </c>
      <c r="G3" s="1265">
        <f>G5-B3</f>
        <v>23.606666700000005</v>
      </c>
      <c r="H3" s="1266">
        <f>A3</f>
        <v>2010</v>
      </c>
      <c r="I3" s="1262">
        <f>B3+$G$3</f>
        <v>-397.39333329999999</v>
      </c>
      <c r="J3" s="1262">
        <f>D3+$G$3</f>
        <v>-397.39333329999999</v>
      </c>
    </row>
    <row r="4" spans="1:10" x14ac:dyDescent="0.25">
      <c r="A4" s="1255">
        <v>2011</v>
      </c>
      <c r="B4" s="1267" t="s">
        <v>2594</v>
      </c>
      <c r="C4" s="1267" t="s">
        <v>2594</v>
      </c>
      <c r="D4" s="1264">
        <f>D$3+(D$13-D$3)/($A$13-$A$3)*($A4-$A$3)</f>
        <v>-432.4</v>
      </c>
      <c r="E4" s="1268" t="s">
        <v>2595</v>
      </c>
      <c r="G4" s="1261" t="s">
        <v>2596</v>
      </c>
      <c r="H4" s="1266">
        <f t="shared" ref="H4:H23" si="0">A4</f>
        <v>2011</v>
      </c>
      <c r="I4" s="1267" t="s">
        <v>2594</v>
      </c>
      <c r="J4" s="1262">
        <f t="shared" ref="J4:J23" si="1">D4+$G$3</f>
        <v>-408.79333329999997</v>
      </c>
    </row>
    <row r="5" spans="1:10" x14ac:dyDescent="0.25">
      <c r="A5" s="1255">
        <v>2012</v>
      </c>
      <c r="B5" s="1267" t="s">
        <v>2594</v>
      </c>
      <c r="C5" s="1267" t="s">
        <v>2594</v>
      </c>
      <c r="D5" s="1264">
        <f t="shared" ref="D5:D12" si="2">D$3+(D$13-D$3)/($A$13-$A$3)*($A5-$A$3)</f>
        <v>-443.8</v>
      </c>
      <c r="E5" s="1268" t="s">
        <v>2595</v>
      </c>
      <c r="G5" s="1269">
        <f>(-397393.3333+0)/1000</f>
        <v>-397.39333329999999</v>
      </c>
      <c r="H5" s="1266">
        <f t="shared" si="0"/>
        <v>2012</v>
      </c>
      <c r="I5" s="1267" t="s">
        <v>2594</v>
      </c>
      <c r="J5" s="1262">
        <f t="shared" si="1"/>
        <v>-420.19333330000001</v>
      </c>
    </row>
    <row r="6" spans="1:10" x14ac:dyDescent="0.25">
      <c r="A6" s="1255">
        <v>2013</v>
      </c>
      <c r="B6" s="1267" t="s">
        <v>2594</v>
      </c>
      <c r="C6" s="1267" t="s">
        <v>2594</v>
      </c>
      <c r="D6" s="1264">
        <f t="shared" si="2"/>
        <v>-455.2</v>
      </c>
      <c r="E6" s="1268" t="s">
        <v>2595</v>
      </c>
      <c r="G6" s="13"/>
      <c r="H6" s="1266">
        <f t="shared" si="0"/>
        <v>2013</v>
      </c>
      <c r="I6" s="1267" t="s">
        <v>2594</v>
      </c>
      <c r="J6" s="1262">
        <f t="shared" si="1"/>
        <v>-431.59333329999998</v>
      </c>
    </row>
    <row r="7" spans="1:10" x14ac:dyDescent="0.25">
      <c r="A7" s="1255">
        <v>2014</v>
      </c>
      <c r="B7" s="1267" t="s">
        <v>2594</v>
      </c>
      <c r="C7" s="1267" t="s">
        <v>2594</v>
      </c>
      <c r="D7" s="1264">
        <f t="shared" si="2"/>
        <v>-466.6</v>
      </c>
      <c r="E7" s="1268" t="s">
        <v>2595</v>
      </c>
      <c r="G7" s="13"/>
      <c r="H7" s="1266">
        <f t="shared" si="0"/>
        <v>2014</v>
      </c>
      <c r="I7" s="1267" t="s">
        <v>2594</v>
      </c>
      <c r="J7" s="1262">
        <f t="shared" si="1"/>
        <v>-442.99333330000002</v>
      </c>
    </row>
    <row r="8" spans="1:10" x14ac:dyDescent="0.25">
      <c r="A8" s="1255">
        <v>2015</v>
      </c>
      <c r="B8" s="1267" t="s">
        <v>2594</v>
      </c>
      <c r="C8" s="1267" t="s">
        <v>2594</v>
      </c>
      <c r="D8" s="1264">
        <f t="shared" si="2"/>
        <v>-478</v>
      </c>
      <c r="E8" s="1268" t="s">
        <v>2595</v>
      </c>
      <c r="G8" s="13"/>
      <c r="H8" s="1266">
        <f t="shared" si="0"/>
        <v>2015</v>
      </c>
      <c r="I8" s="1267" t="s">
        <v>2594</v>
      </c>
      <c r="J8" s="1262">
        <f t="shared" si="1"/>
        <v>-454.39333329999999</v>
      </c>
    </row>
    <row r="9" spans="1:10" x14ac:dyDescent="0.25">
      <c r="A9" s="1255">
        <v>2016</v>
      </c>
      <c r="B9" s="1267" t="s">
        <v>2594</v>
      </c>
      <c r="C9" s="1267" t="s">
        <v>2594</v>
      </c>
      <c r="D9" s="1264">
        <f t="shared" si="2"/>
        <v>-489.4</v>
      </c>
      <c r="E9" s="1268" t="s">
        <v>2595</v>
      </c>
      <c r="G9" s="13"/>
      <c r="H9" s="1266">
        <f t="shared" si="0"/>
        <v>2016</v>
      </c>
      <c r="I9" s="1267" t="s">
        <v>2594</v>
      </c>
      <c r="J9" s="1262">
        <f t="shared" si="1"/>
        <v>-465.79333329999997</v>
      </c>
    </row>
    <row r="10" spans="1:10" x14ac:dyDescent="0.25">
      <c r="A10" s="1255">
        <v>2017</v>
      </c>
      <c r="B10" s="1267" t="s">
        <v>2594</v>
      </c>
      <c r="C10" s="1267" t="s">
        <v>2594</v>
      </c>
      <c r="D10" s="1264">
        <f t="shared" si="2"/>
        <v>-500.8</v>
      </c>
      <c r="E10" s="1268" t="s">
        <v>2595</v>
      </c>
      <c r="G10" s="13"/>
      <c r="H10" s="1266">
        <f t="shared" si="0"/>
        <v>2017</v>
      </c>
      <c r="I10" s="1267" t="s">
        <v>2594</v>
      </c>
      <c r="J10" s="1262">
        <f t="shared" si="1"/>
        <v>-477.19333330000001</v>
      </c>
    </row>
    <row r="11" spans="1:10" x14ac:dyDescent="0.25">
      <c r="A11" s="1255">
        <v>2018</v>
      </c>
      <c r="B11" s="1267" t="s">
        <v>2594</v>
      </c>
      <c r="C11" s="1267" t="s">
        <v>2594</v>
      </c>
      <c r="D11" s="1264">
        <f t="shared" si="2"/>
        <v>-512.20000000000005</v>
      </c>
      <c r="E11" s="1268" t="s">
        <v>2595</v>
      </c>
      <c r="G11" s="13"/>
      <c r="H11" s="1266">
        <f t="shared" si="0"/>
        <v>2018</v>
      </c>
      <c r="I11" s="1267" t="s">
        <v>2594</v>
      </c>
      <c r="J11" s="1262">
        <f t="shared" si="1"/>
        <v>-488.59333330000004</v>
      </c>
    </row>
    <row r="12" spans="1:10" x14ac:dyDescent="0.25">
      <c r="A12" s="1255">
        <v>2019</v>
      </c>
      <c r="B12" s="1267" t="s">
        <v>2594</v>
      </c>
      <c r="C12" s="1267" t="s">
        <v>2594</v>
      </c>
      <c r="D12" s="1264">
        <f t="shared" si="2"/>
        <v>-523.6</v>
      </c>
      <c r="E12" s="1268" t="s">
        <v>2595</v>
      </c>
      <c r="G12" s="13"/>
      <c r="H12" s="1266">
        <f t="shared" si="0"/>
        <v>2019</v>
      </c>
      <c r="I12" s="1267" t="s">
        <v>2594</v>
      </c>
      <c r="J12" s="1262">
        <f t="shared" si="1"/>
        <v>-499.99333330000002</v>
      </c>
    </row>
    <row r="13" spans="1:10" x14ac:dyDescent="0.25">
      <c r="A13" s="1255">
        <v>2020</v>
      </c>
      <c r="B13" s="1267" t="s">
        <v>2594</v>
      </c>
      <c r="C13" s="1267" t="s">
        <v>2594</v>
      </c>
      <c r="D13" s="1264">
        <v>-535</v>
      </c>
      <c r="E13" s="1263" t="s">
        <v>2430</v>
      </c>
      <c r="G13" s="13"/>
      <c r="H13" s="1266">
        <f t="shared" si="0"/>
        <v>2020</v>
      </c>
      <c r="I13" s="1267" t="s">
        <v>2594</v>
      </c>
      <c r="J13" s="1262">
        <f t="shared" si="1"/>
        <v>-511.39333329999999</v>
      </c>
    </row>
    <row r="14" spans="1:10" x14ac:dyDescent="0.25">
      <c r="A14" s="1255">
        <v>2021</v>
      </c>
      <c r="B14" s="1267" t="s">
        <v>2594</v>
      </c>
      <c r="C14" s="1267" t="s">
        <v>2594</v>
      </c>
      <c r="D14" s="1264">
        <f>D$13+(D$23-D$13)/($A$23-$A$13)*($A14-$A$13)</f>
        <v>-542.36</v>
      </c>
      <c r="E14" s="1268" t="s">
        <v>2595</v>
      </c>
      <c r="G14" s="1257"/>
      <c r="H14" s="1266">
        <f t="shared" si="0"/>
        <v>2021</v>
      </c>
      <c r="I14" s="1267" t="s">
        <v>2594</v>
      </c>
      <c r="J14" s="1262">
        <f>D14+$G$3</f>
        <v>-518.75333330000001</v>
      </c>
    </row>
    <row r="15" spans="1:10" x14ac:dyDescent="0.25">
      <c r="A15" s="1255">
        <v>2022</v>
      </c>
      <c r="B15" s="1267" t="s">
        <v>2594</v>
      </c>
      <c r="C15" s="1267" t="s">
        <v>2594</v>
      </c>
      <c r="D15" s="1264">
        <f t="shared" ref="D15:D22" si="3">D$13+(D$23-D$13)/($A$23-$A$13)*($A15-$A$13)</f>
        <v>-549.72</v>
      </c>
      <c r="E15" s="1268" t="s">
        <v>2595</v>
      </c>
      <c r="G15" s="1257"/>
      <c r="H15" s="1266">
        <f t="shared" si="0"/>
        <v>2022</v>
      </c>
      <c r="I15" s="1267" t="s">
        <v>2594</v>
      </c>
      <c r="J15" s="1262">
        <f t="shared" si="1"/>
        <v>-526.11333330000002</v>
      </c>
    </row>
    <row r="16" spans="1:10" x14ac:dyDescent="0.25">
      <c r="A16" s="1255">
        <v>2023</v>
      </c>
      <c r="B16" s="1267" t="s">
        <v>2594</v>
      </c>
      <c r="C16" s="1267" t="s">
        <v>2594</v>
      </c>
      <c r="D16" s="1264">
        <f t="shared" si="3"/>
        <v>-557.08000000000004</v>
      </c>
      <c r="E16" s="1268" t="s">
        <v>2595</v>
      </c>
      <c r="G16" s="1257"/>
      <c r="H16" s="1266">
        <f t="shared" si="0"/>
        <v>2023</v>
      </c>
      <c r="I16" s="1267" t="s">
        <v>2594</v>
      </c>
      <c r="J16" s="1262">
        <f t="shared" si="1"/>
        <v>-533.47333330000004</v>
      </c>
    </row>
    <row r="17" spans="1:10" x14ac:dyDescent="0.25">
      <c r="A17" s="1255">
        <v>2024</v>
      </c>
      <c r="B17" s="1267" t="s">
        <v>2594</v>
      </c>
      <c r="C17" s="1267" t="s">
        <v>2594</v>
      </c>
      <c r="D17" s="1264">
        <f t="shared" si="3"/>
        <v>-564.44000000000005</v>
      </c>
      <c r="E17" s="1268" t="s">
        <v>2595</v>
      </c>
      <c r="H17" s="1266">
        <f t="shared" si="0"/>
        <v>2024</v>
      </c>
      <c r="I17" s="1267" t="s">
        <v>2594</v>
      </c>
      <c r="J17" s="1262">
        <f t="shared" si="1"/>
        <v>-540.83333330000005</v>
      </c>
    </row>
    <row r="18" spans="1:10" x14ac:dyDescent="0.25">
      <c r="A18" s="1255">
        <v>2025</v>
      </c>
      <c r="B18" s="1267" t="s">
        <v>2594</v>
      </c>
      <c r="C18" s="1267" t="s">
        <v>2594</v>
      </c>
      <c r="D18" s="1264">
        <f t="shared" si="3"/>
        <v>-571.79999999999995</v>
      </c>
      <c r="E18" s="1268" t="s">
        <v>2595</v>
      </c>
      <c r="H18" s="1266">
        <f t="shared" si="0"/>
        <v>2025</v>
      </c>
      <c r="I18" s="1267" t="s">
        <v>2594</v>
      </c>
      <c r="J18" s="1262">
        <f t="shared" si="1"/>
        <v>-548.19333329999995</v>
      </c>
    </row>
    <row r="19" spans="1:10" x14ac:dyDescent="0.25">
      <c r="A19" s="1255">
        <v>2026</v>
      </c>
      <c r="B19" s="1267" t="s">
        <v>2594</v>
      </c>
      <c r="C19" s="1267" t="s">
        <v>2594</v>
      </c>
      <c r="D19" s="1264">
        <f t="shared" si="3"/>
        <v>-579.16</v>
      </c>
      <c r="E19" s="1268" t="s">
        <v>2595</v>
      </c>
      <c r="H19" s="1266">
        <f t="shared" si="0"/>
        <v>2026</v>
      </c>
      <c r="I19" s="1267" t="s">
        <v>2594</v>
      </c>
      <c r="J19" s="1262">
        <f t="shared" si="1"/>
        <v>-555.55333329999996</v>
      </c>
    </row>
    <row r="20" spans="1:10" x14ac:dyDescent="0.25">
      <c r="A20" s="1255">
        <v>2027</v>
      </c>
      <c r="B20" s="1267" t="s">
        <v>2594</v>
      </c>
      <c r="C20" s="1267" t="s">
        <v>2594</v>
      </c>
      <c r="D20" s="1264">
        <f t="shared" si="3"/>
        <v>-586.52</v>
      </c>
      <c r="E20" s="1268" t="s">
        <v>2595</v>
      </c>
      <c r="H20" s="1266">
        <f t="shared" si="0"/>
        <v>2027</v>
      </c>
      <c r="I20" s="1267" t="s">
        <v>2594</v>
      </c>
      <c r="J20" s="1262">
        <f t="shared" si="1"/>
        <v>-562.91333329999998</v>
      </c>
    </row>
    <row r="21" spans="1:10" x14ac:dyDescent="0.25">
      <c r="A21" s="1255">
        <v>2028</v>
      </c>
      <c r="B21" s="1267" t="s">
        <v>2594</v>
      </c>
      <c r="C21" s="1267" t="s">
        <v>2594</v>
      </c>
      <c r="D21" s="1264">
        <f t="shared" si="3"/>
        <v>-593.88</v>
      </c>
      <c r="E21" s="1268" t="s">
        <v>2595</v>
      </c>
      <c r="H21" s="1266">
        <f t="shared" si="0"/>
        <v>2028</v>
      </c>
      <c r="I21" s="1267" t="s">
        <v>2594</v>
      </c>
      <c r="J21" s="1262">
        <f t="shared" si="1"/>
        <v>-570.27333329999999</v>
      </c>
    </row>
    <row r="22" spans="1:10" x14ac:dyDescent="0.25">
      <c r="A22" s="1255">
        <v>2029</v>
      </c>
      <c r="B22" s="1267" t="s">
        <v>2594</v>
      </c>
      <c r="C22" s="1267" t="s">
        <v>2594</v>
      </c>
      <c r="D22" s="1264">
        <f t="shared" si="3"/>
        <v>-601.24</v>
      </c>
      <c r="E22" s="1268" t="s">
        <v>2595</v>
      </c>
      <c r="H22" s="1266">
        <f t="shared" si="0"/>
        <v>2029</v>
      </c>
      <c r="I22" s="1267" t="s">
        <v>2594</v>
      </c>
      <c r="J22" s="1262">
        <f t="shared" si="1"/>
        <v>-577.6333333</v>
      </c>
    </row>
    <row r="23" spans="1:10" x14ac:dyDescent="0.25">
      <c r="A23" s="1255">
        <v>2030</v>
      </c>
      <c r="B23" s="1267" t="s">
        <v>2594</v>
      </c>
      <c r="C23" s="1267" t="s">
        <v>2594</v>
      </c>
      <c r="D23" s="1264">
        <v>-608.6</v>
      </c>
      <c r="E23" s="1263" t="s">
        <v>2430</v>
      </c>
      <c r="H23" s="1266">
        <f t="shared" si="0"/>
        <v>2030</v>
      </c>
      <c r="I23" s="1267" t="s">
        <v>2594</v>
      </c>
      <c r="J23" s="1262">
        <f t="shared" si="1"/>
        <v>-584.99333330000002</v>
      </c>
    </row>
    <row r="25" spans="1:10" x14ac:dyDescent="0.25">
      <c r="A25" s="1272" t="s">
        <v>2597</v>
      </c>
    </row>
  </sheetData>
  <mergeCells count="1">
    <mergeCell ref="G1:J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O25"/>
  <sheetViews>
    <sheetView workbookViewId="0">
      <selection activeCell="B8" sqref="B8"/>
    </sheetView>
  </sheetViews>
  <sheetFormatPr defaultRowHeight="15" x14ac:dyDescent="0.25"/>
  <cols>
    <col min="1" max="16384" width="9.140625" style="534"/>
  </cols>
  <sheetData>
    <row r="1" spans="1:15" x14ac:dyDescent="0.25">
      <c r="A1" s="1273" t="s">
        <v>2598</v>
      </c>
      <c r="B1" s="536"/>
      <c r="C1" s="536"/>
      <c r="D1" s="12"/>
      <c r="E1" s="12"/>
      <c r="G1" s="1296" t="s">
        <v>2599</v>
      </c>
      <c r="H1" s="1296"/>
      <c r="I1" s="1296"/>
      <c r="J1" s="1296"/>
      <c r="K1" s="1257"/>
      <c r="L1" s="1296" t="s">
        <v>2587</v>
      </c>
      <c r="M1" s="1296"/>
      <c r="N1" s="1296"/>
      <c r="O1" s="1296"/>
    </row>
    <row r="2" spans="1:15" x14ac:dyDescent="0.25">
      <c r="A2" s="1258" t="s">
        <v>2588</v>
      </c>
      <c r="B2" s="1259" t="s">
        <v>2589</v>
      </c>
      <c r="C2" s="1258" t="s">
        <v>2590</v>
      </c>
      <c r="D2" s="1259" t="s">
        <v>2591</v>
      </c>
      <c r="E2" s="1258" t="s">
        <v>2590</v>
      </c>
      <c r="G2" s="1261" t="s">
        <v>2592</v>
      </c>
      <c r="H2" s="1258" t="s">
        <v>2588</v>
      </c>
      <c r="I2" s="1258" t="str">
        <f>B2</f>
        <v xml:space="preserve">NoPolicy </v>
      </c>
      <c r="J2" s="1258" t="str">
        <f>D2</f>
        <v xml:space="preserve">NPi </v>
      </c>
      <c r="K2" s="1260"/>
      <c r="L2" s="1261" t="s">
        <v>2592</v>
      </c>
      <c r="M2" s="1258" t="s">
        <v>2588</v>
      </c>
      <c r="N2" s="1258" t="s">
        <v>2589</v>
      </c>
      <c r="O2" s="1258" t="s">
        <v>2591</v>
      </c>
    </row>
    <row r="3" spans="1:15" x14ac:dyDescent="0.25">
      <c r="A3" s="1255">
        <v>2010</v>
      </c>
      <c r="B3" s="1262">
        <v>-312</v>
      </c>
      <c r="C3" s="1267" t="s">
        <v>2609</v>
      </c>
      <c r="D3" s="1264">
        <f>B3</f>
        <v>-312</v>
      </c>
      <c r="E3" s="1267" t="s">
        <v>2609</v>
      </c>
      <c r="G3" s="1265">
        <f>G5-B3</f>
        <v>16.204000000000008</v>
      </c>
      <c r="H3" s="1266">
        <f>A3</f>
        <v>2010</v>
      </c>
      <c r="I3" s="1262">
        <f>B3+$G$3</f>
        <v>-295.79599999999999</v>
      </c>
      <c r="J3" s="1262">
        <f>D3+$G$3</f>
        <v>-295.79599999999999</v>
      </c>
      <c r="K3" s="1257"/>
      <c r="L3" s="1265">
        <f>L5-D3</f>
        <v>-117.24126669999998</v>
      </c>
      <c r="M3" s="1266">
        <f>A3</f>
        <v>2010</v>
      </c>
      <c r="N3" s="1262">
        <f>B3+$L$3</f>
        <v>-429.24126669999998</v>
      </c>
      <c r="O3" s="1262">
        <f>D3+$L$3</f>
        <v>-429.24126669999998</v>
      </c>
    </row>
    <row r="4" spans="1:15" x14ac:dyDescent="0.25">
      <c r="A4" s="1255">
        <v>2011</v>
      </c>
      <c r="B4" s="1267" t="s">
        <v>2594</v>
      </c>
      <c r="C4" s="1267" t="s">
        <v>2594</v>
      </c>
      <c r="D4" s="1264">
        <f>D$3+(D$13-D$3)/($A$13-$A$3)*($A4-$A$3)</f>
        <v>-308.81</v>
      </c>
      <c r="E4" s="1277" t="s">
        <v>2595</v>
      </c>
      <c r="G4" s="1261" t="s">
        <v>2601</v>
      </c>
      <c r="H4" s="1266">
        <f t="shared" ref="H4:H23" si="0">A4</f>
        <v>2011</v>
      </c>
      <c r="I4" s="1267" t="s">
        <v>2594</v>
      </c>
      <c r="J4" s="1262">
        <f t="shared" ref="J4:J23" si="1">D4+$G$3</f>
        <v>-292.60599999999999</v>
      </c>
      <c r="K4" s="1257"/>
      <c r="L4" s="1261" t="s">
        <v>2596</v>
      </c>
      <c r="M4" s="1266">
        <f t="shared" ref="M4:M23" si="2">A4</f>
        <v>2011</v>
      </c>
      <c r="N4" s="1267" t="s">
        <v>2594</v>
      </c>
      <c r="O4" s="1262">
        <f t="shared" ref="O4:O23" si="3">D4+$L$3</f>
        <v>-426.05126669999999</v>
      </c>
    </row>
    <row r="5" spans="1:15" x14ac:dyDescent="0.25">
      <c r="A5" s="1255">
        <v>2012</v>
      </c>
      <c r="B5" s="1267" t="s">
        <v>2594</v>
      </c>
      <c r="C5" s="1267" t="s">
        <v>2594</v>
      </c>
      <c r="D5" s="1264">
        <f t="shared" ref="D5:D12" si="4">D$3+(D$13-D$3)/($A$13-$A$3)*($A5-$A$3)</f>
        <v>-305.62</v>
      </c>
      <c r="E5" s="1277" t="s">
        <v>2595</v>
      </c>
      <c r="G5" s="1269">
        <v>-295.79599999999999</v>
      </c>
      <c r="H5" s="1266">
        <f t="shared" si="0"/>
        <v>2012</v>
      </c>
      <c r="I5" s="1267" t="s">
        <v>2594</v>
      </c>
      <c r="J5" s="1262">
        <f t="shared" si="1"/>
        <v>-289.416</v>
      </c>
      <c r="K5" s="1257"/>
      <c r="L5" s="1269">
        <f>(-513239.3586+83998.0919)/1000</f>
        <v>-429.24126669999998</v>
      </c>
      <c r="M5" s="1266">
        <f t="shared" si="2"/>
        <v>2012</v>
      </c>
      <c r="N5" s="1267" t="s">
        <v>2594</v>
      </c>
      <c r="O5" s="1262">
        <f t="shared" si="3"/>
        <v>-422.86126669999999</v>
      </c>
    </row>
    <row r="6" spans="1:15" x14ac:dyDescent="0.25">
      <c r="A6" s="1255">
        <v>2013</v>
      </c>
      <c r="B6" s="1267" t="s">
        <v>2594</v>
      </c>
      <c r="C6" s="1267" t="s">
        <v>2594</v>
      </c>
      <c r="D6" s="1264">
        <f t="shared" si="4"/>
        <v>-302.43</v>
      </c>
      <c r="E6" s="1277" t="s">
        <v>2595</v>
      </c>
      <c r="G6" s="13"/>
      <c r="H6" s="1266">
        <f t="shared" si="0"/>
        <v>2013</v>
      </c>
      <c r="I6" s="1267" t="s">
        <v>2594</v>
      </c>
      <c r="J6" s="1262">
        <f t="shared" si="1"/>
        <v>-286.226</v>
      </c>
      <c r="K6" s="1257"/>
      <c r="L6" s="13"/>
      <c r="M6" s="1266">
        <f t="shared" si="2"/>
        <v>2013</v>
      </c>
      <c r="N6" s="1267" t="s">
        <v>2594</v>
      </c>
      <c r="O6" s="1262">
        <f t="shared" si="3"/>
        <v>-419.67126669999999</v>
      </c>
    </row>
    <row r="7" spans="1:15" x14ac:dyDescent="0.25">
      <c r="A7" s="1255">
        <v>2014</v>
      </c>
      <c r="B7" s="1267" t="s">
        <v>2594</v>
      </c>
      <c r="C7" s="1267" t="s">
        <v>2594</v>
      </c>
      <c r="D7" s="1264">
        <f t="shared" si="4"/>
        <v>-299.24</v>
      </c>
      <c r="E7" s="1277" t="s">
        <v>2595</v>
      </c>
      <c r="G7" s="13"/>
      <c r="H7" s="1266">
        <f t="shared" si="0"/>
        <v>2014</v>
      </c>
      <c r="I7" s="1267" t="s">
        <v>2594</v>
      </c>
      <c r="J7" s="1262">
        <f t="shared" si="1"/>
        <v>-283.036</v>
      </c>
      <c r="K7" s="1257"/>
      <c r="L7" s="13"/>
      <c r="M7" s="1266">
        <f t="shared" si="2"/>
        <v>2014</v>
      </c>
      <c r="N7" s="1267" t="s">
        <v>2594</v>
      </c>
      <c r="O7" s="1262">
        <f t="shared" si="3"/>
        <v>-416.48126669999999</v>
      </c>
    </row>
    <row r="8" spans="1:15" x14ac:dyDescent="0.25">
      <c r="A8" s="1255">
        <v>2015</v>
      </c>
      <c r="B8" s="1267" t="s">
        <v>2594</v>
      </c>
      <c r="C8" s="1267" t="s">
        <v>2594</v>
      </c>
      <c r="D8" s="1264">
        <f t="shared" si="4"/>
        <v>-296.05</v>
      </c>
      <c r="E8" s="1277" t="s">
        <v>2595</v>
      </c>
      <c r="G8" s="13"/>
      <c r="H8" s="1266">
        <f t="shared" si="0"/>
        <v>2015</v>
      </c>
      <c r="I8" s="1267" t="s">
        <v>2594</v>
      </c>
      <c r="J8" s="1262">
        <f t="shared" si="1"/>
        <v>-279.846</v>
      </c>
      <c r="K8" s="1257"/>
      <c r="L8" s="13"/>
      <c r="M8" s="1266">
        <f t="shared" si="2"/>
        <v>2015</v>
      </c>
      <c r="N8" s="1267" t="s">
        <v>2594</v>
      </c>
      <c r="O8" s="1262">
        <f t="shared" si="3"/>
        <v>-413.29126669999999</v>
      </c>
    </row>
    <row r="9" spans="1:15" x14ac:dyDescent="0.25">
      <c r="A9" s="1255">
        <v>2016</v>
      </c>
      <c r="B9" s="1267" t="s">
        <v>2594</v>
      </c>
      <c r="C9" s="1267" t="s">
        <v>2594</v>
      </c>
      <c r="D9" s="1264">
        <f t="shared" si="4"/>
        <v>-292.86</v>
      </c>
      <c r="E9" s="1277" t="s">
        <v>2595</v>
      </c>
      <c r="G9" s="13"/>
      <c r="H9" s="1266">
        <f t="shared" si="0"/>
        <v>2016</v>
      </c>
      <c r="I9" s="1267" t="s">
        <v>2594</v>
      </c>
      <c r="J9" s="1262">
        <f t="shared" si="1"/>
        <v>-276.65600000000001</v>
      </c>
      <c r="K9" s="1257"/>
      <c r="L9" s="13"/>
      <c r="M9" s="1266">
        <f t="shared" si="2"/>
        <v>2016</v>
      </c>
      <c r="N9" s="1267" t="s">
        <v>2594</v>
      </c>
      <c r="O9" s="1262">
        <f t="shared" si="3"/>
        <v>-410.1012667</v>
      </c>
    </row>
    <row r="10" spans="1:15" x14ac:dyDescent="0.25">
      <c r="A10" s="1255">
        <v>2017</v>
      </c>
      <c r="B10" s="1267" t="s">
        <v>2594</v>
      </c>
      <c r="C10" s="1267" t="s">
        <v>2594</v>
      </c>
      <c r="D10" s="1264">
        <f t="shared" si="4"/>
        <v>-289.67</v>
      </c>
      <c r="E10" s="1277" t="s">
        <v>2595</v>
      </c>
      <c r="G10" s="13"/>
      <c r="H10" s="1266">
        <f t="shared" si="0"/>
        <v>2017</v>
      </c>
      <c r="I10" s="1267" t="s">
        <v>2594</v>
      </c>
      <c r="J10" s="1262">
        <f t="shared" si="1"/>
        <v>-273.46600000000001</v>
      </c>
      <c r="K10" s="1257"/>
      <c r="L10" s="13"/>
      <c r="M10" s="1266">
        <f t="shared" si="2"/>
        <v>2017</v>
      </c>
      <c r="N10" s="1267" t="s">
        <v>2594</v>
      </c>
      <c r="O10" s="1262">
        <f t="shared" si="3"/>
        <v>-406.9112667</v>
      </c>
    </row>
    <row r="11" spans="1:15" x14ac:dyDescent="0.25">
      <c r="A11" s="1255">
        <v>2018</v>
      </c>
      <c r="B11" s="1267" t="s">
        <v>2594</v>
      </c>
      <c r="C11" s="1267" t="s">
        <v>2594</v>
      </c>
      <c r="D11" s="1264">
        <f t="shared" si="4"/>
        <v>-286.48</v>
      </c>
      <c r="E11" s="1277" t="s">
        <v>2595</v>
      </c>
      <c r="G11" s="13"/>
      <c r="H11" s="1266">
        <f t="shared" si="0"/>
        <v>2018</v>
      </c>
      <c r="I11" s="1267" t="s">
        <v>2594</v>
      </c>
      <c r="J11" s="1262">
        <f t="shared" si="1"/>
        <v>-270.27600000000001</v>
      </c>
      <c r="K11" s="1257"/>
      <c r="L11" s="13"/>
      <c r="M11" s="1266">
        <f t="shared" si="2"/>
        <v>2018</v>
      </c>
      <c r="N11" s="1267" t="s">
        <v>2594</v>
      </c>
      <c r="O11" s="1262">
        <f t="shared" si="3"/>
        <v>-403.7212667</v>
      </c>
    </row>
    <row r="12" spans="1:15" x14ac:dyDescent="0.25">
      <c r="A12" s="1255">
        <v>2019</v>
      </c>
      <c r="B12" s="1267" t="s">
        <v>2594</v>
      </c>
      <c r="C12" s="1267" t="s">
        <v>2594</v>
      </c>
      <c r="D12" s="1264">
        <f t="shared" si="4"/>
        <v>-283.29000000000002</v>
      </c>
      <c r="E12" s="1277" t="s">
        <v>2595</v>
      </c>
      <c r="G12" s="13"/>
      <c r="H12" s="1266">
        <f t="shared" si="0"/>
        <v>2019</v>
      </c>
      <c r="I12" s="1267" t="s">
        <v>2594</v>
      </c>
      <c r="J12" s="1262">
        <f t="shared" si="1"/>
        <v>-267.08600000000001</v>
      </c>
      <c r="K12" s="1257"/>
      <c r="L12" s="13"/>
      <c r="M12" s="1266">
        <f t="shared" si="2"/>
        <v>2019</v>
      </c>
      <c r="N12" s="1267" t="s">
        <v>2594</v>
      </c>
      <c r="O12" s="1262">
        <f t="shared" si="3"/>
        <v>-400.5312667</v>
      </c>
    </row>
    <row r="13" spans="1:15" x14ac:dyDescent="0.25">
      <c r="A13" s="1255">
        <v>2020</v>
      </c>
      <c r="B13" s="1267" t="s">
        <v>2594</v>
      </c>
      <c r="C13" s="1267" t="s">
        <v>2594</v>
      </c>
      <c r="D13" s="1262">
        <v>-280.10000000000002</v>
      </c>
      <c r="E13" s="1276" t="s">
        <v>2430</v>
      </c>
      <c r="G13" s="13"/>
      <c r="H13" s="1266">
        <f t="shared" si="0"/>
        <v>2020</v>
      </c>
      <c r="I13" s="1267" t="s">
        <v>2594</v>
      </c>
      <c r="J13" s="1262">
        <f t="shared" si="1"/>
        <v>-263.89600000000002</v>
      </c>
      <c r="K13" s="1257"/>
      <c r="L13" s="13"/>
      <c r="M13" s="1266">
        <f t="shared" si="2"/>
        <v>2020</v>
      </c>
      <c r="N13" s="1267" t="s">
        <v>2594</v>
      </c>
      <c r="O13" s="1262">
        <f t="shared" si="3"/>
        <v>-397.34126670000001</v>
      </c>
    </row>
    <row r="14" spans="1:15" x14ac:dyDescent="0.25">
      <c r="A14" s="1255">
        <v>2021</v>
      </c>
      <c r="B14" s="1267" t="s">
        <v>2594</v>
      </c>
      <c r="C14" s="1267" t="s">
        <v>2594</v>
      </c>
      <c r="D14" s="1262">
        <f>D$13+(D$23-D$13)/($A$23-$A$13)*($A14-$A$13)</f>
        <v>-280.34000000000003</v>
      </c>
      <c r="E14" s="1277" t="s">
        <v>2595</v>
      </c>
      <c r="G14" s="13"/>
      <c r="H14" s="1266">
        <f t="shared" si="0"/>
        <v>2021</v>
      </c>
      <c r="I14" s="1267" t="s">
        <v>2594</v>
      </c>
      <c r="J14" s="1262">
        <f t="shared" si="1"/>
        <v>-264.13600000000002</v>
      </c>
      <c r="K14" s="1257"/>
      <c r="L14" s="1257"/>
      <c r="M14" s="1266">
        <f t="shared" si="2"/>
        <v>2021</v>
      </c>
      <c r="N14" s="1267" t="s">
        <v>2594</v>
      </c>
      <c r="O14" s="1262">
        <f t="shared" si="3"/>
        <v>-397.58126670000001</v>
      </c>
    </row>
    <row r="15" spans="1:15" x14ac:dyDescent="0.25">
      <c r="A15" s="1255">
        <v>2022</v>
      </c>
      <c r="B15" s="1267" t="s">
        <v>2594</v>
      </c>
      <c r="C15" s="1267" t="s">
        <v>2594</v>
      </c>
      <c r="D15" s="1262">
        <f t="shared" ref="D15:D22" si="5">D$13+(D$23-D$13)/($A$23-$A$13)*($A15-$A$13)</f>
        <v>-280.58000000000004</v>
      </c>
      <c r="E15" s="1277" t="s">
        <v>2595</v>
      </c>
      <c r="G15" s="13"/>
      <c r="H15" s="1266">
        <f t="shared" si="0"/>
        <v>2022</v>
      </c>
      <c r="I15" s="1267" t="s">
        <v>2594</v>
      </c>
      <c r="J15" s="1262">
        <f t="shared" si="1"/>
        <v>-264.37600000000003</v>
      </c>
      <c r="K15" s="1257"/>
      <c r="L15" s="1257"/>
      <c r="M15" s="1266">
        <f t="shared" si="2"/>
        <v>2022</v>
      </c>
      <c r="N15" s="1267" t="s">
        <v>2594</v>
      </c>
      <c r="O15" s="1262">
        <f t="shared" si="3"/>
        <v>-397.82126670000002</v>
      </c>
    </row>
    <row r="16" spans="1:15" x14ac:dyDescent="0.25">
      <c r="A16" s="1255">
        <v>2023</v>
      </c>
      <c r="B16" s="1267" t="s">
        <v>2594</v>
      </c>
      <c r="C16" s="1267" t="s">
        <v>2594</v>
      </c>
      <c r="D16" s="1262">
        <f t="shared" si="5"/>
        <v>-280.82</v>
      </c>
      <c r="E16" s="1277" t="s">
        <v>2595</v>
      </c>
      <c r="G16" s="13"/>
      <c r="H16" s="1266">
        <f t="shared" si="0"/>
        <v>2023</v>
      </c>
      <c r="I16" s="1267" t="s">
        <v>2594</v>
      </c>
      <c r="J16" s="1262">
        <f t="shared" si="1"/>
        <v>-264.61599999999999</v>
      </c>
      <c r="K16" s="1257"/>
      <c r="L16" s="1257"/>
      <c r="M16" s="1266">
        <f t="shared" si="2"/>
        <v>2023</v>
      </c>
      <c r="N16" s="1267" t="s">
        <v>2594</v>
      </c>
      <c r="O16" s="1262">
        <f t="shared" si="3"/>
        <v>-398.06126669999998</v>
      </c>
    </row>
    <row r="17" spans="1:15" x14ac:dyDescent="0.25">
      <c r="A17" s="1255">
        <v>2024</v>
      </c>
      <c r="B17" s="1267" t="s">
        <v>2594</v>
      </c>
      <c r="C17" s="1267" t="s">
        <v>2594</v>
      </c>
      <c r="D17" s="1262">
        <f t="shared" si="5"/>
        <v>-281.06</v>
      </c>
      <c r="E17" s="1277" t="s">
        <v>2595</v>
      </c>
      <c r="G17" s="13"/>
      <c r="H17" s="1266">
        <f t="shared" si="0"/>
        <v>2024</v>
      </c>
      <c r="I17" s="1267" t="s">
        <v>2594</v>
      </c>
      <c r="J17" s="1262">
        <f t="shared" si="1"/>
        <v>-264.85599999999999</v>
      </c>
      <c r="K17" s="1257"/>
      <c r="M17" s="1266">
        <f t="shared" si="2"/>
        <v>2024</v>
      </c>
      <c r="N17" s="1267" t="s">
        <v>2594</v>
      </c>
      <c r="O17" s="1262">
        <f t="shared" si="3"/>
        <v>-398.30126669999999</v>
      </c>
    </row>
    <row r="18" spans="1:15" x14ac:dyDescent="0.25">
      <c r="A18" s="1255">
        <v>2025</v>
      </c>
      <c r="B18" s="1267" t="s">
        <v>2594</v>
      </c>
      <c r="C18" s="1267" t="s">
        <v>2594</v>
      </c>
      <c r="D18" s="1262">
        <f t="shared" si="5"/>
        <v>-281.3</v>
      </c>
      <c r="E18" s="1277" t="s">
        <v>2595</v>
      </c>
      <c r="G18" s="13"/>
      <c r="H18" s="1266">
        <f t="shared" si="0"/>
        <v>2025</v>
      </c>
      <c r="I18" s="1267" t="s">
        <v>2594</v>
      </c>
      <c r="J18" s="1262">
        <f t="shared" si="1"/>
        <v>-265.096</v>
      </c>
      <c r="K18" s="1257"/>
      <c r="M18" s="1266">
        <f t="shared" si="2"/>
        <v>2025</v>
      </c>
      <c r="N18" s="1267" t="s">
        <v>2594</v>
      </c>
      <c r="O18" s="1262">
        <f t="shared" si="3"/>
        <v>-398.54126669999999</v>
      </c>
    </row>
    <row r="19" spans="1:15" x14ac:dyDescent="0.25">
      <c r="A19" s="1255">
        <v>2026</v>
      </c>
      <c r="B19" s="1267" t="s">
        <v>2594</v>
      </c>
      <c r="C19" s="1267" t="s">
        <v>2594</v>
      </c>
      <c r="D19" s="1262">
        <f t="shared" si="5"/>
        <v>-281.54000000000002</v>
      </c>
      <c r="E19" s="1277" t="s">
        <v>2595</v>
      </c>
      <c r="G19" s="13"/>
      <c r="H19" s="1266">
        <f t="shared" si="0"/>
        <v>2026</v>
      </c>
      <c r="I19" s="1267" t="s">
        <v>2594</v>
      </c>
      <c r="J19" s="1262">
        <f t="shared" si="1"/>
        <v>-265.33600000000001</v>
      </c>
      <c r="K19" s="1257"/>
      <c r="M19" s="1266">
        <f t="shared" si="2"/>
        <v>2026</v>
      </c>
      <c r="N19" s="1267" t="s">
        <v>2594</v>
      </c>
      <c r="O19" s="1262">
        <f t="shared" si="3"/>
        <v>-398.7812667</v>
      </c>
    </row>
    <row r="20" spans="1:15" x14ac:dyDescent="0.25">
      <c r="A20" s="1255">
        <v>2027</v>
      </c>
      <c r="B20" s="1267" t="s">
        <v>2594</v>
      </c>
      <c r="C20" s="1267" t="s">
        <v>2594</v>
      </c>
      <c r="D20" s="1262">
        <f t="shared" si="5"/>
        <v>-281.78000000000003</v>
      </c>
      <c r="E20" s="1277" t="s">
        <v>2595</v>
      </c>
      <c r="G20" s="13"/>
      <c r="H20" s="1266">
        <f t="shared" si="0"/>
        <v>2027</v>
      </c>
      <c r="I20" s="1267" t="s">
        <v>2594</v>
      </c>
      <c r="J20" s="1262">
        <f t="shared" si="1"/>
        <v>-265.57600000000002</v>
      </c>
      <c r="K20" s="1257"/>
      <c r="M20" s="1266">
        <f t="shared" si="2"/>
        <v>2027</v>
      </c>
      <c r="N20" s="1267" t="s">
        <v>2594</v>
      </c>
      <c r="O20" s="1262">
        <f t="shared" si="3"/>
        <v>-399.02126670000001</v>
      </c>
    </row>
    <row r="21" spans="1:15" x14ac:dyDescent="0.25">
      <c r="A21" s="1255">
        <v>2028</v>
      </c>
      <c r="B21" s="1267" t="s">
        <v>2594</v>
      </c>
      <c r="C21" s="1267" t="s">
        <v>2594</v>
      </c>
      <c r="D21" s="1262">
        <f t="shared" si="5"/>
        <v>-282.02</v>
      </c>
      <c r="E21" s="1277" t="s">
        <v>2595</v>
      </c>
      <c r="G21" s="13"/>
      <c r="H21" s="1266">
        <f t="shared" si="0"/>
        <v>2028</v>
      </c>
      <c r="I21" s="1267" t="s">
        <v>2594</v>
      </c>
      <c r="J21" s="1262">
        <f t="shared" si="1"/>
        <v>-265.81599999999997</v>
      </c>
      <c r="K21" s="1257"/>
      <c r="M21" s="1266">
        <f t="shared" si="2"/>
        <v>2028</v>
      </c>
      <c r="N21" s="1267" t="s">
        <v>2594</v>
      </c>
      <c r="O21" s="1262">
        <f t="shared" si="3"/>
        <v>-399.26126669999996</v>
      </c>
    </row>
    <row r="22" spans="1:15" x14ac:dyDescent="0.25">
      <c r="A22" s="1255">
        <v>2029</v>
      </c>
      <c r="B22" s="1267" t="s">
        <v>2594</v>
      </c>
      <c r="C22" s="1267" t="s">
        <v>2594</v>
      </c>
      <c r="D22" s="1262">
        <f t="shared" si="5"/>
        <v>-282.26</v>
      </c>
      <c r="E22" s="1277" t="s">
        <v>2595</v>
      </c>
      <c r="G22" s="13"/>
      <c r="H22" s="1266">
        <f t="shared" si="0"/>
        <v>2029</v>
      </c>
      <c r="I22" s="1267" t="s">
        <v>2594</v>
      </c>
      <c r="J22" s="1262">
        <f t="shared" si="1"/>
        <v>-266.05599999999998</v>
      </c>
      <c r="K22" s="1257"/>
      <c r="M22" s="1266">
        <f t="shared" si="2"/>
        <v>2029</v>
      </c>
      <c r="N22" s="1267" t="s">
        <v>2594</v>
      </c>
      <c r="O22" s="1262">
        <f t="shared" si="3"/>
        <v>-399.50126669999997</v>
      </c>
    </row>
    <row r="23" spans="1:15" x14ac:dyDescent="0.25">
      <c r="A23" s="1255">
        <v>2030</v>
      </c>
      <c r="B23" s="1267" t="s">
        <v>2594</v>
      </c>
      <c r="C23" s="1267" t="s">
        <v>2594</v>
      </c>
      <c r="D23" s="1262">
        <v>-282.5</v>
      </c>
      <c r="E23" s="1276" t="s">
        <v>2430</v>
      </c>
      <c r="G23" s="13"/>
      <c r="H23" s="1266">
        <f t="shared" si="0"/>
        <v>2030</v>
      </c>
      <c r="I23" s="1267" t="s">
        <v>2594</v>
      </c>
      <c r="J23" s="1262">
        <f t="shared" si="1"/>
        <v>-266.29599999999999</v>
      </c>
      <c r="K23" s="1257"/>
      <c r="M23" s="1266">
        <f t="shared" si="2"/>
        <v>2030</v>
      </c>
      <c r="N23" s="1267" t="s">
        <v>2594</v>
      </c>
      <c r="O23" s="1262">
        <f t="shared" si="3"/>
        <v>-399.74126669999998</v>
      </c>
    </row>
    <row r="25" spans="1:15" x14ac:dyDescent="0.25">
      <c r="A25" s="1272" t="s">
        <v>2597</v>
      </c>
    </row>
  </sheetData>
  <mergeCells count="2">
    <mergeCell ref="G1:J1"/>
    <mergeCell ref="L1:O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25"/>
  <sheetViews>
    <sheetView workbookViewId="0">
      <selection activeCell="B8" sqref="B8"/>
    </sheetView>
  </sheetViews>
  <sheetFormatPr defaultRowHeight="15" x14ac:dyDescent="0.25"/>
  <cols>
    <col min="1" max="16384" width="9.140625" style="534"/>
  </cols>
  <sheetData>
    <row r="1" spans="1:10" x14ac:dyDescent="0.25">
      <c r="A1" s="1254" t="s">
        <v>2586</v>
      </c>
      <c r="B1" s="1255"/>
      <c r="C1" s="1255"/>
      <c r="D1" s="1256"/>
      <c r="E1" s="1256"/>
      <c r="G1" s="1296" t="s">
        <v>2587</v>
      </c>
      <c r="H1" s="1296"/>
      <c r="I1" s="1296"/>
      <c r="J1" s="1296"/>
    </row>
    <row r="2" spans="1:10" x14ac:dyDescent="0.25">
      <c r="A2" s="1258" t="s">
        <v>2588</v>
      </c>
      <c r="B2" s="1259" t="s">
        <v>2589</v>
      </c>
      <c r="C2" s="1259" t="s">
        <v>2590</v>
      </c>
      <c r="D2" s="1259" t="s">
        <v>2591</v>
      </c>
      <c r="E2" s="1258" t="s">
        <v>2590</v>
      </c>
      <c r="G2" s="1261" t="s">
        <v>2592</v>
      </c>
      <c r="H2" s="1258" t="s">
        <v>2588</v>
      </c>
      <c r="I2" s="1258" t="str">
        <f>Argentina!B2</f>
        <v xml:space="preserve">NoPolicy </v>
      </c>
      <c r="J2" s="1258" t="str">
        <f>Argentina!D2</f>
        <v xml:space="preserve">NPi </v>
      </c>
    </row>
    <row r="3" spans="1:10" x14ac:dyDescent="0.25">
      <c r="A3" s="1255">
        <v>2010</v>
      </c>
      <c r="B3" s="1264">
        <v>-175.02199999999999</v>
      </c>
      <c r="C3" s="1263" t="s">
        <v>1376</v>
      </c>
      <c r="D3" s="1264">
        <f>B3</f>
        <v>-175.02199999999999</v>
      </c>
      <c r="E3" s="1263" t="s">
        <v>1376</v>
      </c>
      <c r="G3" s="1265">
        <f>G5-B3</f>
        <v>39.355333299999984</v>
      </c>
      <c r="H3" s="1266">
        <f>A3</f>
        <v>2010</v>
      </c>
      <c r="I3" s="1262">
        <f>B3+$G$3</f>
        <v>-135.66666670000001</v>
      </c>
      <c r="J3" s="1262">
        <f>D3+$G$3</f>
        <v>-135.66666670000001</v>
      </c>
    </row>
    <row r="4" spans="1:10" x14ac:dyDescent="0.25">
      <c r="A4" s="1255">
        <v>2011</v>
      </c>
      <c r="B4" s="1267" t="s">
        <v>2594</v>
      </c>
      <c r="C4" s="1267" t="s">
        <v>2594</v>
      </c>
      <c r="D4" s="1264">
        <f>D$3+(D$8-D$3)/5*1</f>
        <v>-176.01759999999999</v>
      </c>
      <c r="E4" s="1268" t="s">
        <v>2595</v>
      </c>
      <c r="G4" s="1261" t="s">
        <v>2596</v>
      </c>
      <c r="H4" s="1266">
        <f t="shared" ref="H4:H23" si="0">A4</f>
        <v>2011</v>
      </c>
      <c r="I4" s="1267" t="s">
        <v>2594</v>
      </c>
      <c r="J4" s="1262">
        <f t="shared" ref="J4:J23" si="1">D4+$G$3</f>
        <v>-136.6622667</v>
      </c>
    </row>
    <row r="5" spans="1:10" x14ac:dyDescent="0.25">
      <c r="A5" s="1255">
        <v>2012</v>
      </c>
      <c r="B5" s="1267" t="s">
        <v>2594</v>
      </c>
      <c r="C5" s="1267" t="s">
        <v>2594</v>
      </c>
      <c r="D5" s="1264">
        <f>D$3+(D$8-D$3)/5*2</f>
        <v>-177.01319999999998</v>
      </c>
      <c r="E5" s="1268" t="s">
        <v>2595</v>
      </c>
      <c r="G5" s="1269">
        <f>(-135666.6667+0)/1000</f>
        <v>-135.66666670000001</v>
      </c>
      <c r="H5" s="1266">
        <f t="shared" si="0"/>
        <v>2012</v>
      </c>
      <c r="I5" s="1267" t="s">
        <v>2594</v>
      </c>
      <c r="J5" s="1262">
        <f t="shared" si="1"/>
        <v>-137.6578667</v>
      </c>
    </row>
    <row r="6" spans="1:10" x14ac:dyDescent="0.25">
      <c r="A6" s="1255">
        <v>2013</v>
      </c>
      <c r="B6" s="1267" t="s">
        <v>2594</v>
      </c>
      <c r="C6" s="1267" t="s">
        <v>2594</v>
      </c>
      <c r="D6" s="1264">
        <f>D$3+(D$8-D$3)/5*3</f>
        <v>-178.00880000000001</v>
      </c>
      <c r="E6" s="1268" t="s">
        <v>2595</v>
      </c>
      <c r="G6" s="13"/>
      <c r="H6" s="1266">
        <f t="shared" si="0"/>
        <v>2013</v>
      </c>
      <c r="I6" s="1267" t="s">
        <v>2594</v>
      </c>
      <c r="J6" s="1262">
        <f t="shared" si="1"/>
        <v>-138.65346670000002</v>
      </c>
    </row>
    <row r="7" spans="1:10" x14ac:dyDescent="0.25">
      <c r="A7" s="1255">
        <v>2014</v>
      </c>
      <c r="B7" s="1267" t="s">
        <v>2594</v>
      </c>
      <c r="C7" s="1267" t="s">
        <v>2594</v>
      </c>
      <c r="D7" s="1264">
        <f>D$3+(D$8-D$3)/5*4</f>
        <v>-179.0044</v>
      </c>
      <c r="E7" s="1268" t="s">
        <v>2595</v>
      </c>
      <c r="G7" s="13"/>
      <c r="H7" s="1266">
        <f t="shared" si="0"/>
        <v>2014</v>
      </c>
      <c r="I7" s="1267" t="s">
        <v>2594</v>
      </c>
      <c r="J7" s="1262">
        <f t="shared" si="1"/>
        <v>-139.64906670000002</v>
      </c>
    </row>
    <row r="8" spans="1:10" x14ac:dyDescent="0.25">
      <c r="A8" s="1255">
        <v>2015</v>
      </c>
      <c r="B8" s="1267" t="s">
        <v>2594</v>
      </c>
      <c r="C8" s="1267" t="s">
        <v>2594</v>
      </c>
      <c r="D8" s="1264">
        <v>-180</v>
      </c>
      <c r="E8" s="1284" t="s">
        <v>2602</v>
      </c>
      <c r="G8" s="13"/>
      <c r="H8" s="1266">
        <f t="shared" si="0"/>
        <v>2015</v>
      </c>
      <c r="I8" s="1267" t="s">
        <v>2594</v>
      </c>
      <c r="J8" s="1262">
        <f t="shared" si="1"/>
        <v>-140.64466670000002</v>
      </c>
    </row>
    <row r="9" spans="1:10" x14ac:dyDescent="0.25">
      <c r="A9" s="1255">
        <v>2016</v>
      </c>
      <c r="B9" s="1267" t="s">
        <v>2594</v>
      </c>
      <c r="C9" s="1267" t="s">
        <v>2594</v>
      </c>
      <c r="D9" s="1264">
        <f>D$8+(D$13-D$8)/5*1</f>
        <v>-185.2</v>
      </c>
      <c r="E9" s="1268" t="s">
        <v>2595</v>
      </c>
      <c r="G9" s="13"/>
      <c r="H9" s="1266">
        <f t="shared" si="0"/>
        <v>2016</v>
      </c>
      <c r="I9" s="1267" t="s">
        <v>2594</v>
      </c>
      <c r="J9" s="1262">
        <f t="shared" si="1"/>
        <v>-145.8446667</v>
      </c>
    </row>
    <row r="10" spans="1:10" x14ac:dyDescent="0.25">
      <c r="A10" s="1255">
        <v>2017</v>
      </c>
      <c r="B10" s="1267" t="s">
        <v>2594</v>
      </c>
      <c r="C10" s="1267" t="s">
        <v>2594</v>
      </c>
      <c r="D10" s="1264">
        <f>D$8+(D$13-D$8)/5*2</f>
        <v>-190.4</v>
      </c>
      <c r="E10" s="1268" t="s">
        <v>2595</v>
      </c>
      <c r="G10" s="13"/>
      <c r="H10" s="1266">
        <f t="shared" si="0"/>
        <v>2017</v>
      </c>
      <c r="I10" s="1267" t="s">
        <v>2594</v>
      </c>
      <c r="J10" s="1262">
        <f t="shared" si="1"/>
        <v>-151.04466670000002</v>
      </c>
    </row>
    <row r="11" spans="1:10" x14ac:dyDescent="0.25">
      <c r="A11" s="1255">
        <v>2018</v>
      </c>
      <c r="B11" s="1267" t="s">
        <v>2594</v>
      </c>
      <c r="C11" s="1267" t="s">
        <v>2594</v>
      </c>
      <c r="D11" s="1264">
        <f>D$8+(D$13-D$8)/5*3</f>
        <v>-195.6</v>
      </c>
      <c r="E11" s="1268" t="s">
        <v>2595</v>
      </c>
      <c r="G11" s="13"/>
      <c r="H11" s="1266">
        <f t="shared" si="0"/>
        <v>2018</v>
      </c>
      <c r="I11" s="1267" t="s">
        <v>2594</v>
      </c>
      <c r="J11" s="1262">
        <f t="shared" si="1"/>
        <v>-156.24466670000001</v>
      </c>
    </row>
    <row r="12" spans="1:10" x14ac:dyDescent="0.25">
      <c r="A12" s="1255">
        <v>2019</v>
      </c>
      <c r="B12" s="1267" t="s">
        <v>2594</v>
      </c>
      <c r="C12" s="1267" t="s">
        <v>2594</v>
      </c>
      <c r="D12" s="1264">
        <f>D$8+(D$13-D$8)/5*4</f>
        <v>-200.8</v>
      </c>
      <c r="E12" s="1268" t="s">
        <v>2595</v>
      </c>
      <c r="G12" s="13"/>
      <c r="H12" s="1266">
        <f t="shared" si="0"/>
        <v>2019</v>
      </c>
      <c r="I12" s="1267" t="s">
        <v>2594</v>
      </c>
      <c r="J12" s="1262">
        <f t="shared" si="1"/>
        <v>-161.44466670000003</v>
      </c>
    </row>
    <row r="13" spans="1:10" x14ac:dyDescent="0.25">
      <c r="A13" s="1255">
        <v>2020</v>
      </c>
      <c r="B13" s="1267" t="s">
        <v>2594</v>
      </c>
      <c r="C13" s="1267" t="s">
        <v>2594</v>
      </c>
      <c r="D13" s="1264">
        <v>-206</v>
      </c>
      <c r="E13" s="1284" t="s">
        <v>2602</v>
      </c>
      <c r="G13" s="13"/>
      <c r="H13" s="1266">
        <f t="shared" si="0"/>
        <v>2020</v>
      </c>
      <c r="I13" s="1267" t="s">
        <v>2594</v>
      </c>
      <c r="J13" s="1262">
        <f t="shared" si="1"/>
        <v>-166.64466670000002</v>
      </c>
    </row>
    <row r="14" spans="1:10" x14ac:dyDescent="0.25">
      <c r="A14" s="1255">
        <v>2021</v>
      </c>
      <c r="B14" s="1267" t="s">
        <v>2594</v>
      </c>
      <c r="C14" s="1267" t="s">
        <v>2594</v>
      </c>
      <c r="D14" s="1264">
        <f>D$13+(D$18-D$13)/5*1</f>
        <v>-210.4</v>
      </c>
      <c r="E14" s="1268" t="s">
        <v>2595</v>
      </c>
      <c r="G14" s="13"/>
      <c r="H14" s="1266">
        <f t="shared" si="0"/>
        <v>2021</v>
      </c>
      <c r="I14" s="1267" t="s">
        <v>2594</v>
      </c>
      <c r="J14" s="1262">
        <f t="shared" si="1"/>
        <v>-171.04466670000002</v>
      </c>
    </row>
    <row r="15" spans="1:10" x14ac:dyDescent="0.25">
      <c r="A15" s="1255">
        <v>2022</v>
      </c>
      <c r="B15" s="1267" t="s">
        <v>2594</v>
      </c>
      <c r="C15" s="1267" t="s">
        <v>2594</v>
      </c>
      <c r="D15" s="1264">
        <f>D$13+(D$18-D$13)/5*2</f>
        <v>-214.8</v>
      </c>
      <c r="E15" s="1268" t="s">
        <v>2595</v>
      </c>
      <c r="G15" s="13"/>
      <c r="H15" s="1266">
        <f t="shared" si="0"/>
        <v>2022</v>
      </c>
      <c r="I15" s="1267" t="s">
        <v>2594</v>
      </c>
      <c r="J15" s="1262">
        <f t="shared" si="1"/>
        <v>-175.44466670000003</v>
      </c>
    </row>
    <row r="16" spans="1:10" x14ac:dyDescent="0.25">
      <c r="A16" s="1255">
        <v>2023</v>
      </c>
      <c r="B16" s="1267" t="s">
        <v>2594</v>
      </c>
      <c r="C16" s="1267" t="s">
        <v>2594</v>
      </c>
      <c r="D16" s="1264">
        <f>D$13+(D$18-D$13)/5*3</f>
        <v>-219.2</v>
      </c>
      <c r="E16" s="1268" t="s">
        <v>2595</v>
      </c>
      <c r="G16" s="13"/>
      <c r="H16" s="1266">
        <f t="shared" si="0"/>
        <v>2023</v>
      </c>
      <c r="I16" s="1267" t="s">
        <v>2594</v>
      </c>
      <c r="J16" s="1262">
        <f t="shared" si="1"/>
        <v>-179.8446667</v>
      </c>
    </row>
    <row r="17" spans="1:10" x14ac:dyDescent="0.25">
      <c r="A17" s="1255">
        <v>2024</v>
      </c>
      <c r="B17" s="1267" t="s">
        <v>2594</v>
      </c>
      <c r="C17" s="1267" t="s">
        <v>2594</v>
      </c>
      <c r="D17" s="1264">
        <f>D$13+(D$18-D$13)/5*4</f>
        <v>-223.6</v>
      </c>
      <c r="E17" s="1268" t="s">
        <v>2595</v>
      </c>
      <c r="G17" s="13"/>
      <c r="H17" s="1266">
        <f t="shared" si="0"/>
        <v>2024</v>
      </c>
      <c r="I17" s="1267" t="s">
        <v>2594</v>
      </c>
      <c r="J17" s="1262">
        <f t="shared" si="1"/>
        <v>-184.24466670000001</v>
      </c>
    </row>
    <row r="18" spans="1:10" x14ac:dyDescent="0.25">
      <c r="A18" s="1255">
        <v>2025</v>
      </c>
      <c r="B18" s="1267" t="s">
        <v>2594</v>
      </c>
      <c r="C18" s="1267" t="s">
        <v>2594</v>
      </c>
      <c r="D18" s="1264">
        <v>-228</v>
      </c>
      <c r="E18" s="1284" t="s">
        <v>2602</v>
      </c>
      <c r="G18" s="13"/>
      <c r="H18" s="1266">
        <f t="shared" si="0"/>
        <v>2025</v>
      </c>
      <c r="I18" s="1267" t="s">
        <v>2594</v>
      </c>
      <c r="J18" s="1262">
        <f t="shared" si="1"/>
        <v>-188.64466670000002</v>
      </c>
    </row>
    <row r="19" spans="1:10" x14ac:dyDescent="0.25">
      <c r="A19" s="1255">
        <v>2026</v>
      </c>
      <c r="B19" s="1267" t="s">
        <v>2594</v>
      </c>
      <c r="C19" s="1267" t="s">
        <v>2594</v>
      </c>
      <c r="D19" s="1264">
        <f>D18</f>
        <v>-228</v>
      </c>
      <c r="E19" s="1268" t="s">
        <v>2610</v>
      </c>
      <c r="G19" s="13"/>
      <c r="H19" s="1266">
        <f t="shared" si="0"/>
        <v>2026</v>
      </c>
      <c r="I19" s="1267" t="s">
        <v>2594</v>
      </c>
      <c r="J19" s="1262">
        <f t="shared" si="1"/>
        <v>-188.64466670000002</v>
      </c>
    </row>
    <row r="20" spans="1:10" x14ac:dyDescent="0.25">
      <c r="A20" s="1255">
        <v>2027</v>
      </c>
      <c r="B20" s="1267" t="s">
        <v>2594</v>
      </c>
      <c r="C20" s="1267" t="s">
        <v>2594</v>
      </c>
      <c r="D20" s="1264">
        <f t="shared" ref="D20:D23" si="2">D19</f>
        <v>-228</v>
      </c>
      <c r="E20" s="1268" t="s">
        <v>2610</v>
      </c>
      <c r="G20" s="13"/>
      <c r="H20" s="1266">
        <f t="shared" si="0"/>
        <v>2027</v>
      </c>
      <c r="I20" s="1267" t="s">
        <v>2594</v>
      </c>
      <c r="J20" s="1262">
        <f t="shared" si="1"/>
        <v>-188.64466670000002</v>
      </c>
    </row>
    <row r="21" spans="1:10" x14ac:dyDescent="0.25">
      <c r="A21" s="1255">
        <v>2028</v>
      </c>
      <c r="B21" s="1267" t="s">
        <v>2594</v>
      </c>
      <c r="C21" s="1267" t="s">
        <v>2594</v>
      </c>
      <c r="D21" s="1264">
        <f t="shared" si="2"/>
        <v>-228</v>
      </c>
      <c r="E21" s="1268" t="s">
        <v>2610</v>
      </c>
      <c r="G21" s="13"/>
      <c r="H21" s="1266">
        <f t="shared" si="0"/>
        <v>2028</v>
      </c>
      <c r="I21" s="1267" t="s">
        <v>2594</v>
      </c>
      <c r="J21" s="1262">
        <f t="shared" si="1"/>
        <v>-188.64466670000002</v>
      </c>
    </row>
    <row r="22" spans="1:10" x14ac:dyDescent="0.25">
      <c r="A22" s="1255">
        <v>2029</v>
      </c>
      <c r="B22" s="1267" t="s">
        <v>2594</v>
      </c>
      <c r="C22" s="1267" t="s">
        <v>2594</v>
      </c>
      <c r="D22" s="1264">
        <f t="shared" si="2"/>
        <v>-228</v>
      </c>
      <c r="E22" s="1268" t="s">
        <v>2610</v>
      </c>
      <c r="G22" s="13"/>
      <c r="H22" s="1266">
        <f t="shared" si="0"/>
        <v>2029</v>
      </c>
      <c r="I22" s="1267" t="s">
        <v>2594</v>
      </c>
      <c r="J22" s="1262">
        <f t="shared" si="1"/>
        <v>-188.64466670000002</v>
      </c>
    </row>
    <row r="23" spans="1:10" x14ac:dyDescent="0.25">
      <c r="A23" s="1255">
        <v>2030</v>
      </c>
      <c r="B23" s="1267" t="s">
        <v>2594</v>
      </c>
      <c r="C23" s="1267" t="s">
        <v>2594</v>
      </c>
      <c r="D23" s="1264">
        <f t="shared" si="2"/>
        <v>-228</v>
      </c>
      <c r="E23" s="1268" t="s">
        <v>2610</v>
      </c>
      <c r="G23" s="1257"/>
      <c r="H23" s="1266">
        <f t="shared" si="0"/>
        <v>2030</v>
      </c>
      <c r="I23" s="1267" t="s">
        <v>2594</v>
      </c>
      <c r="J23" s="1262">
        <f t="shared" si="1"/>
        <v>-188.64466670000002</v>
      </c>
    </row>
    <row r="24" spans="1:10" x14ac:dyDescent="0.25">
      <c r="G24" s="1257"/>
    </row>
    <row r="25" spans="1:10" x14ac:dyDescent="0.25">
      <c r="A25" s="1272" t="s">
        <v>2611</v>
      </c>
      <c r="G25" s="1257"/>
    </row>
  </sheetData>
  <mergeCells count="1">
    <mergeCell ref="G1:J1"/>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25"/>
  <sheetViews>
    <sheetView workbookViewId="0">
      <selection activeCell="B8" sqref="B8"/>
    </sheetView>
  </sheetViews>
  <sheetFormatPr defaultRowHeight="15" x14ac:dyDescent="0.25"/>
  <cols>
    <col min="1" max="6" width="9.140625" style="534"/>
    <col min="7" max="8" width="14.42578125" style="534" customWidth="1"/>
    <col min="9" max="16384" width="9.140625" style="534"/>
  </cols>
  <sheetData>
    <row r="1" spans="1:15" x14ac:dyDescent="0.25">
      <c r="A1" s="1273" t="s">
        <v>2586</v>
      </c>
      <c r="B1" s="536"/>
      <c r="C1" s="536"/>
      <c r="D1" s="12"/>
      <c r="E1" s="12"/>
      <c r="G1" s="1296" t="s">
        <v>2612</v>
      </c>
      <c r="H1" s="1296"/>
      <c r="I1" s="1296"/>
      <c r="J1" s="1296"/>
      <c r="L1" s="1296" t="s">
        <v>2587</v>
      </c>
      <c r="M1" s="1296"/>
      <c r="N1" s="1296"/>
      <c r="O1" s="1296"/>
    </row>
    <row r="2" spans="1:15" x14ac:dyDescent="0.25">
      <c r="A2" s="1258" t="s">
        <v>2588</v>
      </c>
      <c r="B2" s="1259" t="s">
        <v>2589</v>
      </c>
      <c r="C2" s="1258" t="s">
        <v>2590</v>
      </c>
      <c r="D2" s="1259" t="s">
        <v>2591</v>
      </c>
      <c r="E2" s="1258" t="s">
        <v>2590</v>
      </c>
      <c r="G2" s="1261" t="s">
        <v>2592</v>
      </c>
      <c r="H2" s="1258" t="s">
        <v>2588</v>
      </c>
      <c r="I2" s="1259" t="str">
        <f>B2</f>
        <v xml:space="preserve">NoPolicy </v>
      </c>
      <c r="J2" s="1259" t="str">
        <f>D2</f>
        <v xml:space="preserve">NPi </v>
      </c>
      <c r="L2" s="1261" t="s">
        <v>2592</v>
      </c>
      <c r="M2" s="1258" t="s">
        <v>2588</v>
      </c>
      <c r="N2" s="1258" t="str">
        <f>I2</f>
        <v xml:space="preserve">NoPolicy </v>
      </c>
      <c r="O2" s="1259" t="s">
        <v>2591</v>
      </c>
    </row>
    <row r="3" spans="1:15" x14ac:dyDescent="0.25">
      <c r="A3" s="1255">
        <v>2010</v>
      </c>
      <c r="B3" s="1262">
        <v>898</v>
      </c>
      <c r="C3" s="1267" t="s">
        <v>2613</v>
      </c>
      <c r="D3" s="1264">
        <v>898</v>
      </c>
      <c r="E3" s="1267" t="s">
        <v>2613</v>
      </c>
      <c r="G3" s="1265">
        <f>G5-B3</f>
        <v>228</v>
      </c>
      <c r="H3" s="1255">
        <v>2010</v>
      </c>
      <c r="I3" s="1262">
        <f>B3+$G$3</f>
        <v>1126</v>
      </c>
      <c r="J3" s="1262">
        <f>D3+$G$3</f>
        <v>1126</v>
      </c>
      <c r="L3" s="1265">
        <f>L5-I3</f>
        <v>-126.46666669999991</v>
      </c>
      <c r="M3" s="1266">
        <f>A3</f>
        <v>2010</v>
      </c>
      <c r="N3" s="1262">
        <f>I3+$L$3</f>
        <v>999.53333330000009</v>
      </c>
      <c r="O3" s="1262">
        <f>J3+$L$3</f>
        <v>999.53333330000009</v>
      </c>
    </row>
    <row r="4" spans="1:15" x14ac:dyDescent="0.25">
      <c r="A4" s="1255">
        <v>2011</v>
      </c>
      <c r="B4" s="1262">
        <f>B$3+(B$13-B$3)/($A$13-$A$3)*($A4-$A$3)</f>
        <v>884.9</v>
      </c>
      <c r="C4" s="1277" t="s">
        <v>2595</v>
      </c>
      <c r="D4" s="1264">
        <f>D$3+(D$13-D$3)/($A$13-$A$3)*($A4-$A$3)</f>
        <v>851.3</v>
      </c>
      <c r="E4" s="1277" t="s">
        <v>2595</v>
      </c>
      <c r="G4" s="1261" t="s">
        <v>2614</v>
      </c>
      <c r="H4" s="1255">
        <v>2011</v>
      </c>
      <c r="I4" s="1262">
        <f t="shared" ref="I4:I23" si="0">B4+$G$3</f>
        <v>1112.9000000000001</v>
      </c>
      <c r="J4" s="1262">
        <f t="shared" ref="J4:J23" si="1">D4+$G$3</f>
        <v>1079.3</v>
      </c>
      <c r="L4" s="1261" t="s">
        <v>2596</v>
      </c>
      <c r="M4" s="1266">
        <f t="shared" ref="M4:M23" si="2">A4</f>
        <v>2011</v>
      </c>
      <c r="N4" s="1262">
        <f t="shared" ref="N4:O23" si="3">I4+$L$3</f>
        <v>986.43333330000019</v>
      </c>
      <c r="O4" s="1262">
        <f t="shared" si="3"/>
        <v>952.83333330000005</v>
      </c>
    </row>
    <row r="5" spans="1:15" x14ac:dyDescent="0.25">
      <c r="A5" s="1255">
        <v>2012</v>
      </c>
      <c r="B5" s="1262">
        <f t="shared" ref="B5:D12" si="4">B$3+(B$13-B$3)/($A$13-$A$3)*($A5-$A$3)</f>
        <v>871.8</v>
      </c>
      <c r="C5" s="1277" t="s">
        <v>2595</v>
      </c>
      <c r="D5" s="1264">
        <f t="shared" si="4"/>
        <v>804.6</v>
      </c>
      <c r="E5" s="1277" t="s">
        <v>2595</v>
      </c>
      <c r="G5" s="1265">
        <v>1126</v>
      </c>
      <c r="H5" s="1255">
        <v>2012</v>
      </c>
      <c r="I5" s="1262">
        <f t="shared" si="0"/>
        <v>1099.8</v>
      </c>
      <c r="J5" s="1262">
        <f t="shared" si="1"/>
        <v>1032.5999999999999</v>
      </c>
      <c r="L5" s="1269">
        <f>(610959.3354+388573.9979)/1000</f>
        <v>999.53333330000009</v>
      </c>
      <c r="M5" s="1266">
        <f t="shared" si="2"/>
        <v>2012</v>
      </c>
      <c r="N5" s="1262">
        <f t="shared" si="3"/>
        <v>973.33333330000005</v>
      </c>
      <c r="O5" s="1262">
        <f t="shared" si="3"/>
        <v>906.1333333</v>
      </c>
    </row>
    <row r="6" spans="1:15" x14ac:dyDescent="0.25">
      <c r="A6" s="1255">
        <v>2013</v>
      </c>
      <c r="B6" s="1262">
        <f t="shared" si="4"/>
        <v>858.7</v>
      </c>
      <c r="C6" s="1277" t="s">
        <v>2595</v>
      </c>
      <c r="D6" s="1264">
        <f t="shared" si="4"/>
        <v>757.9</v>
      </c>
      <c r="E6" s="1277" t="s">
        <v>2595</v>
      </c>
      <c r="G6" s="1257"/>
      <c r="H6" s="1255">
        <v>2013</v>
      </c>
      <c r="I6" s="1262">
        <f t="shared" si="0"/>
        <v>1086.7</v>
      </c>
      <c r="J6" s="1262">
        <f t="shared" si="1"/>
        <v>985.9</v>
      </c>
      <c r="L6" s="13"/>
      <c r="M6" s="1266">
        <f t="shared" si="2"/>
        <v>2013</v>
      </c>
      <c r="N6" s="1262">
        <f t="shared" si="3"/>
        <v>960.23333330000014</v>
      </c>
      <c r="O6" s="1262">
        <f t="shared" si="3"/>
        <v>859.43333330000007</v>
      </c>
    </row>
    <row r="7" spans="1:15" x14ac:dyDescent="0.25">
      <c r="A7" s="1255">
        <v>2014</v>
      </c>
      <c r="B7" s="1262">
        <f t="shared" si="4"/>
        <v>845.6</v>
      </c>
      <c r="C7" s="1277" t="s">
        <v>2595</v>
      </c>
      <c r="D7" s="1264">
        <f t="shared" si="4"/>
        <v>711.2</v>
      </c>
      <c r="E7" s="1277" t="s">
        <v>2595</v>
      </c>
      <c r="G7" s="1257"/>
      <c r="H7" s="1255">
        <v>2014</v>
      </c>
      <c r="I7" s="1262">
        <f t="shared" si="0"/>
        <v>1073.5999999999999</v>
      </c>
      <c r="J7" s="1262">
        <f t="shared" si="1"/>
        <v>939.2</v>
      </c>
      <c r="L7" s="13"/>
      <c r="M7" s="1266">
        <f t="shared" si="2"/>
        <v>2014</v>
      </c>
      <c r="N7" s="1262">
        <f t="shared" si="3"/>
        <v>947.1333333</v>
      </c>
      <c r="O7" s="1262">
        <f t="shared" si="3"/>
        <v>812.73333330000014</v>
      </c>
    </row>
    <row r="8" spans="1:15" x14ac:dyDescent="0.25">
      <c r="A8" s="1255">
        <v>2015</v>
      </c>
      <c r="B8" s="1262">
        <f t="shared" si="4"/>
        <v>832.5</v>
      </c>
      <c r="C8" s="1277" t="s">
        <v>2595</v>
      </c>
      <c r="D8" s="1264">
        <f t="shared" si="4"/>
        <v>664.5</v>
      </c>
      <c r="E8" s="1277" t="s">
        <v>2595</v>
      </c>
      <c r="G8" s="1257"/>
      <c r="H8" s="1255">
        <v>2015</v>
      </c>
      <c r="I8" s="1262">
        <f t="shared" si="0"/>
        <v>1060.5</v>
      </c>
      <c r="J8" s="1262">
        <f t="shared" si="1"/>
        <v>892.5</v>
      </c>
      <c r="L8" s="13"/>
      <c r="M8" s="1266">
        <f t="shared" si="2"/>
        <v>2015</v>
      </c>
      <c r="N8" s="1262">
        <f t="shared" si="3"/>
        <v>934.03333330000009</v>
      </c>
      <c r="O8" s="1262">
        <f t="shared" si="3"/>
        <v>766.03333330000009</v>
      </c>
    </row>
    <row r="9" spans="1:15" x14ac:dyDescent="0.25">
      <c r="A9" s="1255">
        <v>2016</v>
      </c>
      <c r="B9" s="1262">
        <f t="shared" si="4"/>
        <v>819.4</v>
      </c>
      <c r="C9" s="1277" t="s">
        <v>2595</v>
      </c>
      <c r="D9" s="1264">
        <f t="shared" si="4"/>
        <v>617.79999999999995</v>
      </c>
      <c r="E9" s="1277" t="s">
        <v>2595</v>
      </c>
      <c r="G9" s="1257"/>
      <c r="H9" s="1255">
        <v>2016</v>
      </c>
      <c r="I9" s="1262">
        <f t="shared" si="0"/>
        <v>1047.4000000000001</v>
      </c>
      <c r="J9" s="1262">
        <f t="shared" si="1"/>
        <v>845.8</v>
      </c>
      <c r="L9" s="13"/>
      <c r="M9" s="1266">
        <f t="shared" si="2"/>
        <v>2016</v>
      </c>
      <c r="N9" s="1262">
        <f t="shared" si="3"/>
        <v>920.93333330000019</v>
      </c>
      <c r="O9" s="1262">
        <f t="shared" si="3"/>
        <v>719.33333330000005</v>
      </c>
    </row>
    <row r="10" spans="1:15" x14ac:dyDescent="0.25">
      <c r="A10" s="1255">
        <v>2017</v>
      </c>
      <c r="B10" s="1262">
        <f t="shared" si="4"/>
        <v>806.3</v>
      </c>
      <c r="C10" s="1277" t="s">
        <v>2595</v>
      </c>
      <c r="D10" s="1264">
        <f t="shared" si="4"/>
        <v>571.09999999999991</v>
      </c>
      <c r="E10" s="1277" t="s">
        <v>2595</v>
      </c>
      <c r="G10" s="1257"/>
      <c r="H10" s="1255">
        <v>2017</v>
      </c>
      <c r="I10" s="1262">
        <f t="shared" si="0"/>
        <v>1034.3</v>
      </c>
      <c r="J10" s="1262">
        <f t="shared" si="1"/>
        <v>799.09999999999991</v>
      </c>
      <c r="L10" s="13"/>
      <c r="M10" s="1266">
        <f t="shared" si="2"/>
        <v>2017</v>
      </c>
      <c r="N10" s="1262">
        <f t="shared" si="3"/>
        <v>907.83333330000005</v>
      </c>
      <c r="O10" s="1262">
        <f t="shared" si="3"/>
        <v>672.6333333</v>
      </c>
    </row>
    <row r="11" spans="1:15" x14ac:dyDescent="0.25">
      <c r="A11" s="1255">
        <v>2018</v>
      </c>
      <c r="B11" s="1262">
        <f t="shared" si="4"/>
        <v>793.2</v>
      </c>
      <c r="C11" s="1277" t="s">
        <v>2595</v>
      </c>
      <c r="D11" s="1264">
        <f t="shared" si="4"/>
        <v>524.4</v>
      </c>
      <c r="E11" s="1277" t="s">
        <v>2595</v>
      </c>
      <c r="G11" s="1257"/>
      <c r="H11" s="1255">
        <v>2018</v>
      </c>
      <c r="I11" s="1262">
        <f t="shared" si="0"/>
        <v>1021.2</v>
      </c>
      <c r="J11" s="1262">
        <f t="shared" si="1"/>
        <v>752.4</v>
      </c>
      <c r="L11" s="13"/>
      <c r="M11" s="1266">
        <f t="shared" si="2"/>
        <v>2018</v>
      </c>
      <c r="N11" s="1262">
        <f t="shared" si="3"/>
        <v>894.73333330000014</v>
      </c>
      <c r="O11" s="1262">
        <f t="shared" si="3"/>
        <v>625.93333330000007</v>
      </c>
    </row>
    <row r="12" spans="1:15" x14ac:dyDescent="0.25">
      <c r="A12" s="1255">
        <v>2019</v>
      </c>
      <c r="B12" s="1262">
        <f t="shared" si="4"/>
        <v>780.1</v>
      </c>
      <c r="C12" s="1277" t="s">
        <v>2595</v>
      </c>
      <c r="D12" s="1264">
        <f t="shared" si="4"/>
        <v>477.7</v>
      </c>
      <c r="E12" s="1277" t="s">
        <v>2595</v>
      </c>
      <c r="H12" s="1255">
        <v>2019</v>
      </c>
      <c r="I12" s="1262">
        <f t="shared" si="0"/>
        <v>1008.1</v>
      </c>
      <c r="J12" s="1262">
        <f t="shared" si="1"/>
        <v>705.7</v>
      </c>
      <c r="L12" s="13"/>
      <c r="M12" s="1266">
        <f t="shared" si="2"/>
        <v>2019</v>
      </c>
      <c r="N12" s="1262">
        <f t="shared" si="3"/>
        <v>881.63333330000012</v>
      </c>
      <c r="O12" s="1262">
        <f t="shared" si="3"/>
        <v>579.23333330000014</v>
      </c>
    </row>
    <row r="13" spans="1:15" x14ac:dyDescent="0.25">
      <c r="A13" s="1255">
        <v>2020</v>
      </c>
      <c r="B13" s="1262">
        <v>767</v>
      </c>
      <c r="C13" s="1267" t="s">
        <v>2613</v>
      </c>
      <c r="D13" s="1262">
        <v>431</v>
      </c>
      <c r="E13" s="1267" t="s">
        <v>2613</v>
      </c>
      <c r="H13" s="1255">
        <v>2020</v>
      </c>
      <c r="I13" s="1262">
        <f t="shared" si="0"/>
        <v>995</v>
      </c>
      <c r="J13" s="1262">
        <f t="shared" si="1"/>
        <v>659</v>
      </c>
      <c r="L13" s="13"/>
      <c r="M13" s="1266">
        <f t="shared" si="2"/>
        <v>2020</v>
      </c>
      <c r="N13" s="1262">
        <f t="shared" si="3"/>
        <v>868.53333330000009</v>
      </c>
      <c r="O13" s="1262">
        <f t="shared" si="3"/>
        <v>532.53333330000009</v>
      </c>
    </row>
    <row r="14" spans="1:15" x14ac:dyDescent="0.25">
      <c r="A14" s="1255">
        <v>2021</v>
      </c>
      <c r="B14" s="1262">
        <f>B$13+(B$23-B$13)/($A$23-$A$13)*($A14-$A$13)</f>
        <v>797.8</v>
      </c>
      <c r="C14" s="1277" t="s">
        <v>2610</v>
      </c>
      <c r="D14" s="1262">
        <f>D$13+(D$23-D$13)/($A$23-$A$13)*($A14-$A$13)</f>
        <v>428.2</v>
      </c>
      <c r="E14" s="1277" t="s">
        <v>2610</v>
      </c>
      <c r="H14" s="1255">
        <v>2021</v>
      </c>
      <c r="I14" s="1262">
        <f t="shared" si="0"/>
        <v>1025.8</v>
      </c>
      <c r="J14" s="1262">
        <f t="shared" si="1"/>
        <v>656.2</v>
      </c>
      <c r="L14" s="1257"/>
      <c r="M14" s="1266">
        <f t="shared" si="2"/>
        <v>2021</v>
      </c>
      <c r="N14" s="1262">
        <f t="shared" si="3"/>
        <v>899.33333330000005</v>
      </c>
      <c r="O14" s="1262">
        <f t="shared" si="3"/>
        <v>529.73333330000014</v>
      </c>
    </row>
    <row r="15" spans="1:15" x14ac:dyDescent="0.25">
      <c r="A15" s="1255">
        <v>2022</v>
      </c>
      <c r="B15" s="1262">
        <f t="shared" ref="B15:B22" si="5">B$13+(B$23-B$13)/($A$23-$A$13)*($A15-$A$13)</f>
        <v>828.6</v>
      </c>
      <c r="C15" s="1277" t="s">
        <v>2610</v>
      </c>
      <c r="D15" s="1262">
        <f t="shared" ref="D15:D22" si="6">D$13+(D$23-D$13)/($A$23-$A$13)*($A15-$A$13)</f>
        <v>425.4</v>
      </c>
      <c r="E15" s="1277" t="s">
        <v>2610</v>
      </c>
      <c r="H15" s="1255">
        <v>2022</v>
      </c>
      <c r="I15" s="1262">
        <f t="shared" si="0"/>
        <v>1056.5999999999999</v>
      </c>
      <c r="J15" s="1262">
        <f t="shared" si="1"/>
        <v>653.4</v>
      </c>
      <c r="L15" s="1257"/>
      <c r="M15" s="1266">
        <f t="shared" si="2"/>
        <v>2022</v>
      </c>
      <c r="N15" s="1262">
        <f t="shared" si="3"/>
        <v>930.1333333</v>
      </c>
      <c r="O15" s="1262">
        <f t="shared" si="3"/>
        <v>526.93333330000007</v>
      </c>
    </row>
    <row r="16" spans="1:15" x14ac:dyDescent="0.25">
      <c r="A16" s="1255">
        <v>2023</v>
      </c>
      <c r="B16" s="1262">
        <f t="shared" si="5"/>
        <v>859.4</v>
      </c>
      <c r="C16" s="1277" t="s">
        <v>2610</v>
      </c>
      <c r="D16" s="1262">
        <f t="shared" si="6"/>
        <v>422.6</v>
      </c>
      <c r="E16" s="1277" t="s">
        <v>2610</v>
      </c>
      <c r="H16" s="1255">
        <v>2023</v>
      </c>
      <c r="I16" s="1262">
        <f t="shared" si="0"/>
        <v>1087.4000000000001</v>
      </c>
      <c r="J16" s="1262">
        <f t="shared" si="1"/>
        <v>650.6</v>
      </c>
      <c r="L16" s="1257"/>
      <c r="M16" s="1266">
        <f t="shared" si="2"/>
        <v>2023</v>
      </c>
      <c r="N16" s="1262">
        <f t="shared" si="3"/>
        <v>960.93333330000019</v>
      </c>
      <c r="O16" s="1262">
        <f t="shared" si="3"/>
        <v>524.13333330000012</v>
      </c>
    </row>
    <row r="17" spans="1:15" x14ac:dyDescent="0.25">
      <c r="A17" s="1255">
        <v>2024</v>
      </c>
      <c r="B17" s="1262">
        <f t="shared" si="5"/>
        <v>890.2</v>
      </c>
      <c r="C17" s="1277" t="s">
        <v>2610</v>
      </c>
      <c r="D17" s="1262">
        <f t="shared" si="6"/>
        <v>419.8</v>
      </c>
      <c r="E17" s="1277" t="s">
        <v>2610</v>
      </c>
      <c r="H17" s="1255">
        <v>2024</v>
      </c>
      <c r="I17" s="1262">
        <f t="shared" si="0"/>
        <v>1118.2</v>
      </c>
      <c r="J17" s="1262">
        <f t="shared" si="1"/>
        <v>647.79999999999995</v>
      </c>
      <c r="M17" s="1266">
        <f t="shared" si="2"/>
        <v>2024</v>
      </c>
      <c r="N17" s="1262">
        <f t="shared" si="3"/>
        <v>991.73333330000014</v>
      </c>
      <c r="O17" s="1262">
        <f t="shared" si="3"/>
        <v>521.33333330000005</v>
      </c>
    </row>
    <row r="18" spans="1:15" x14ac:dyDescent="0.25">
      <c r="A18" s="1255">
        <v>2025</v>
      </c>
      <c r="B18" s="1262">
        <f t="shared" si="5"/>
        <v>921</v>
      </c>
      <c r="C18" s="1277" t="s">
        <v>2610</v>
      </c>
      <c r="D18" s="1262">
        <f t="shared" si="6"/>
        <v>417</v>
      </c>
      <c r="E18" s="1277" t="s">
        <v>2610</v>
      </c>
      <c r="H18" s="1255">
        <v>2025</v>
      </c>
      <c r="I18" s="1262">
        <f t="shared" si="0"/>
        <v>1149</v>
      </c>
      <c r="J18" s="1262">
        <f t="shared" si="1"/>
        <v>645</v>
      </c>
      <c r="M18" s="1266">
        <f t="shared" si="2"/>
        <v>2025</v>
      </c>
      <c r="N18" s="1262">
        <f t="shared" si="3"/>
        <v>1022.5333333000001</v>
      </c>
      <c r="O18" s="1262">
        <f t="shared" si="3"/>
        <v>518.53333330000009</v>
      </c>
    </row>
    <row r="19" spans="1:15" x14ac:dyDescent="0.25">
      <c r="A19" s="1255">
        <v>2026</v>
      </c>
      <c r="B19" s="1262">
        <f t="shared" si="5"/>
        <v>951.8</v>
      </c>
      <c r="C19" s="1277" t="s">
        <v>2610</v>
      </c>
      <c r="D19" s="1262">
        <f t="shared" si="6"/>
        <v>414.2</v>
      </c>
      <c r="E19" s="1277" t="s">
        <v>2610</v>
      </c>
      <c r="H19" s="1255">
        <v>2026</v>
      </c>
      <c r="I19" s="1262">
        <f t="shared" si="0"/>
        <v>1179.8</v>
      </c>
      <c r="J19" s="1262">
        <f t="shared" si="1"/>
        <v>642.20000000000005</v>
      </c>
      <c r="M19" s="1266">
        <f t="shared" si="2"/>
        <v>2026</v>
      </c>
      <c r="N19" s="1262">
        <f t="shared" si="3"/>
        <v>1053.3333333</v>
      </c>
      <c r="O19" s="1262">
        <f t="shared" si="3"/>
        <v>515.73333330000014</v>
      </c>
    </row>
    <row r="20" spans="1:15" x14ac:dyDescent="0.25">
      <c r="A20" s="1255">
        <v>2027</v>
      </c>
      <c r="B20" s="1262">
        <f t="shared" si="5"/>
        <v>982.6</v>
      </c>
      <c r="C20" s="1277" t="s">
        <v>2610</v>
      </c>
      <c r="D20" s="1262">
        <f t="shared" si="6"/>
        <v>411.4</v>
      </c>
      <c r="E20" s="1277" t="s">
        <v>2610</v>
      </c>
      <c r="H20" s="1255">
        <v>2027</v>
      </c>
      <c r="I20" s="1262">
        <f t="shared" si="0"/>
        <v>1210.5999999999999</v>
      </c>
      <c r="J20" s="1262">
        <f t="shared" si="1"/>
        <v>639.4</v>
      </c>
      <c r="M20" s="1266">
        <f t="shared" si="2"/>
        <v>2027</v>
      </c>
      <c r="N20" s="1262">
        <f t="shared" si="3"/>
        <v>1084.1333333</v>
      </c>
      <c r="O20" s="1262">
        <f t="shared" si="3"/>
        <v>512.93333330000007</v>
      </c>
    </row>
    <row r="21" spans="1:15" x14ac:dyDescent="0.25">
      <c r="A21" s="1255">
        <v>2028</v>
      </c>
      <c r="B21" s="1262">
        <f t="shared" si="5"/>
        <v>1013.4</v>
      </c>
      <c r="C21" s="1277" t="s">
        <v>2610</v>
      </c>
      <c r="D21" s="1262">
        <f t="shared" si="6"/>
        <v>408.6</v>
      </c>
      <c r="E21" s="1277" t="s">
        <v>2610</v>
      </c>
      <c r="H21" s="1255">
        <v>2028</v>
      </c>
      <c r="I21" s="1262">
        <f t="shared" si="0"/>
        <v>1241.4000000000001</v>
      </c>
      <c r="J21" s="1262">
        <f t="shared" si="1"/>
        <v>636.6</v>
      </c>
      <c r="M21" s="1266">
        <f t="shared" si="2"/>
        <v>2028</v>
      </c>
      <c r="N21" s="1262">
        <f t="shared" si="3"/>
        <v>1114.9333333000002</v>
      </c>
      <c r="O21" s="1262">
        <f t="shared" si="3"/>
        <v>510.13333330000012</v>
      </c>
    </row>
    <row r="22" spans="1:15" x14ac:dyDescent="0.25">
      <c r="A22" s="1255">
        <v>2029</v>
      </c>
      <c r="B22" s="1262">
        <f t="shared" si="5"/>
        <v>1044.2</v>
      </c>
      <c r="C22" s="1277" t="s">
        <v>2610</v>
      </c>
      <c r="D22" s="1262">
        <f t="shared" si="6"/>
        <v>405.8</v>
      </c>
      <c r="E22" s="1277" t="s">
        <v>2610</v>
      </c>
      <c r="H22" s="1255">
        <v>2029</v>
      </c>
      <c r="I22" s="1262">
        <f t="shared" si="0"/>
        <v>1272.2</v>
      </c>
      <c r="J22" s="1262">
        <f t="shared" si="1"/>
        <v>633.79999999999995</v>
      </c>
      <c r="M22" s="1266">
        <f t="shared" si="2"/>
        <v>2029</v>
      </c>
      <c r="N22" s="1262">
        <f t="shared" si="3"/>
        <v>1145.7333333000001</v>
      </c>
      <c r="O22" s="1262">
        <f t="shared" si="3"/>
        <v>507.33333330000005</v>
      </c>
    </row>
    <row r="23" spans="1:15" x14ac:dyDescent="0.25">
      <c r="A23" s="1255">
        <v>2030</v>
      </c>
      <c r="B23" s="1262">
        <v>1075</v>
      </c>
      <c r="C23" s="1267" t="s">
        <v>2613</v>
      </c>
      <c r="D23" s="1262">
        <v>403</v>
      </c>
      <c r="E23" s="1267" t="s">
        <v>2613</v>
      </c>
      <c r="H23" s="1255">
        <v>2030</v>
      </c>
      <c r="I23" s="1262">
        <f t="shared" si="0"/>
        <v>1303</v>
      </c>
      <c r="J23" s="1262">
        <f t="shared" si="1"/>
        <v>631</v>
      </c>
      <c r="M23" s="1266">
        <f t="shared" si="2"/>
        <v>2030</v>
      </c>
      <c r="N23" s="1262">
        <f t="shared" si="3"/>
        <v>1176.5333333000001</v>
      </c>
      <c r="O23" s="1262">
        <f t="shared" si="3"/>
        <v>504.53333330000009</v>
      </c>
    </row>
    <row r="25" spans="1:15" x14ac:dyDescent="0.25">
      <c r="A25" s="1272" t="s">
        <v>2615</v>
      </c>
    </row>
  </sheetData>
  <mergeCells count="2">
    <mergeCell ref="G1:J1"/>
    <mergeCell ref="L1:O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O25"/>
  <sheetViews>
    <sheetView topLeftCell="A221" workbookViewId="0">
      <selection activeCell="B8" sqref="B8"/>
    </sheetView>
  </sheetViews>
  <sheetFormatPr defaultRowHeight="15" x14ac:dyDescent="0.25"/>
  <cols>
    <col min="1" max="16384" width="9.140625" style="534"/>
  </cols>
  <sheetData>
    <row r="1" spans="1:15" x14ac:dyDescent="0.25">
      <c r="A1" s="1273" t="s">
        <v>2598</v>
      </c>
      <c r="B1" s="536"/>
      <c r="C1" s="536"/>
      <c r="D1" s="12"/>
      <c r="E1" s="12"/>
      <c r="G1" s="1296" t="s">
        <v>2599</v>
      </c>
      <c r="H1" s="1296"/>
      <c r="I1" s="1296"/>
      <c r="J1" s="1296"/>
      <c r="K1" s="1257"/>
      <c r="L1" s="1296" t="s">
        <v>2587</v>
      </c>
      <c r="M1" s="1296"/>
      <c r="N1" s="1296"/>
      <c r="O1" s="1296"/>
    </row>
    <row r="2" spans="1:15" x14ac:dyDescent="0.25">
      <c r="A2" s="1258" t="s">
        <v>2588</v>
      </c>
      <c r="B2" s="1259" t="s">
        <v>2589</v>
      </c>
      <c r="C2" s="1258" t="s">
        <v>2590</v>
      </c>
      <c r="D2" s="1259" t="s">
        <v>2591</v>
      </c>
      <c r="E2" s="1258" t="s">
        <v>2590</v>
      </c>
      <c r="G2" s="1261" t="s">
        <v>2592</v>
      </c>
      <c r="H2" s="1258" t="s">
        <v>2588</v>
      </c>
      <c r="I2" s="1258" t="str">
        <f>B2</f>
        <v xml:space="preserve">NoPolicy </v>
      </c>
      <c r="J2" s="1258" t="str">
        <f>D2</f>
        <v xml:space="preserve">NPi </v>
      </c>
      <c r="K2" s="1260"/>
      <c r="L2" s="1261" t="s">
        <v>2592</v>
      </c>
      <c r="M2" s="1258" t="s">
        <v>2588</v>
      </c>
      <c r="N2" s="1258" t="s">
        <v>2589</v>
      </c>
      <c r="O2" s="1258" t="s">
        <v>2591</v>
      </c>
    </row>
    <row r="3" spans="1:15" x14ac:dyDescent="0.25">
      <c r="A3" s="1255">
        <v>2010</v>
      </c>
      <c r="B3" s="1262">
        <v>-72</v>
      </c>
      <c r="C3" s="1267" t="s">
        <v>2609</v>
      </c>
      <c r="D3" s="1264">
        <f>B3</f>
        <v>-72</v>
      </c>
      <c r="E3" s="1267" t="s">
        <v>2609</v>
      </c>
      <c r="G3" s="1265">
        <f>G5-B3</f>
        <v>-3.7999999999999972</v>
      </c>
      <c r="H3" s="1266">
        <f>A3</f>
        <v>2010</v>
      </c>
      <c r="I3" s="1262">
        <f>B3+$G$3</f>
        <v>-75.8</v>
      </c>
      <c r="J3" s="1262">
        <f>D3+$G$3</f>
        <v>-75.8</v>
      </c>
      <c r="K3" s="1257"/>
      <c r="L3" s="1265">
        <f>L5-D3</f>
        <v>-77.599999999999994</v>
      </c>
      <c r="M3" s="1266">
        <f>A3</f>
        <v>2010</v>
      </c>
      <c r="N3" s="1262">
        <f>B3+$L$3</f>
        <v>-149.6</v>
      </c>
      <c r="O3" s="1262">
        <f>D3+$L$3</f>
        <v>-149.6</v>
      </c>
    </row>
    <row r="4" spans="1:15" x14ac:dyDescent="0.25">
      <c r="A4" s="1255">
        <v>2011</v>
      </c>
      <c r="B4" s="1267" t="s">
        <v>2594</v>
      </c>
      <c r="C4" s="1267" t="s">
        <v>2594</v>
      </c>
      <c r="D4" s="1264">
        <f>D$3+(D$13-D$3)/($A$13-$A$3)*($A4-$A$3)</f>
        <v>-71.98</v>
      </c>
      <c r="E4" s="1277" t="s">
        <v>2595</v>
      </c>
      <c r="G4" s="1261" t="s">
        <v>2601</v>
      </c>
      <c r="H4" s="1266">
        <f t="shared" ref="H4:H23" si="0">A4</f>
        <v>2011</v>
      </c>
      <c r="I4" s="1267" t="s">
        <v>2594</v>
      </c>
      <c r="J4" s="1262">
        <f t="shared" ref="J4:J23" si="1">D4+$G$3</f>
        <v>-75.78</v>
      </c>
      <c r="K4" s="1257"/>
      <c r="L4" s="1261" t="s">
        <v>2596</v>
      </c>
      <c r="M4" s="1266">
        <f t="shared" ref="M4:M23" si="2">A4</f>
        <v>2011</v>
      </c>
      <c r="N4" s="1267" t="s">
        <v>2594</v>
      </c>
      <c r="O4" s="1262">
        <f t="shared" ref="O4:O23" si="3">D4+$L$3</f>
        <v>-149.57999999999998</v>
      </c>
    </row>
    <row r="5" spans="1:15" x14ac:dyDescent="0.25">
      <c r="A5" s="1255">
        <v>2012</v>
      </c>
      <c r="B5" s="1267" t="s">
        <v>2594</v>
      </c>
      <c r="C5" s="1267" t="s">
        <v>2594</v>
      </c>
      <c r="D5" s="1264">
        <f t="shared" ref="D5:D12" si="4">D$3+(D$13-D$3)/($A$13-$A$3)*($A5-$A$3)</f>
        <v>-71.959999999999994</v>
      </c>
      <c r="E5" s="1277" t="s">
        <v>2595</v>
      </c>
      <c r="G5" s="1269">
        <v>-75.8</v>
      </c>
      <c r="H5" s="1266">
        <f t="shared" si="0"/>
        <v>2012</v>
      </c>
      <c r="I5" s="1267" t="s">
        <v>2594</v>
      </c>
      <c r="J5" s="1262">
        <f t="shared" si="1"/>
        <v>-75.759999999999991</v>
      </c>
      <c r="K5" s="1257"/>
      <c r="L5" s="1269">
        <f>(-151111.0548+1511.0548)/1000</f>
        <v>-149.6</v>
      </c>
      <c r="M5" s="1266">
        <f t="shared" si="2"/>
        <v>2012</v>
      </c>
      <c r="N5" s="1267" t="s">
        <v>2594</v>
      </c>
      <c r="O5" s="1262">
        <f t="shared" si="3"/>
        <v>-149.56</v>
      </c>
    </row>
    <row r="6" spans="1:15" x14ac:dyDescent="0.25">
      <c r="A6" s="1255">
        <v>2013</v>
      </c>
      <c r="B6" s="1267" t="s">
        <v>2594</v>
      </c>
      <c r="C6" s="1267" t="s">
        <v>2594</v>
      </c>
      <c r="D6" s="1264">
        <f t="shared" si="4"/>
        <v>-71.94</v>
      </c>
      <c r="E6" s="1277" t="s">
        <v>2595</v>
      </c>
      <c r="G6" s="13"/>
      <c r="H6" s="1266">
        <f t="shared" si="0"/>
        <v>2013</v>
      </c>
      <c r="I6" s="1267" t="s">
        <v>2594</v>
      </c>
      <c r="J6" s="1262">
        <f t="shared" si="1"/>
        <v>-75.739999999999995</v>
      </c>
      <c r="K6" s="1257"/>
      <c r="L6" s="13"/>
      <c r="M6" s="1266">
        <f t="shared" si="2"/>
        <v>2013</v>
      </c>
      <c r="N6" s="1267" t="s">
        <v>2594</v>
      </c>
      <c r="O6" s="1262">
        <f t="shared" si="3"/>
        <v>-149.54</v>
      </c>
    </row>
    <row r="7" spans="1:15" x14ac:dyDescent="0.25">
      <c r="A7" s="1255">
        <v>2014</v>
      </c>
      <c r="B7" s="1267" t="s">
        <v>2594</v>
      </c>
      <c r="C7" s="1267" t="s">
        <v>2594</v>
      </c>
      <c r="D7" s="1264">
        <f t="shared" si="4"/>
        <v>-71.92</v>
      </c>
      <c r="E7" s="1277" t="s">
        <v>2595</v>
      </c>
      <c r="G7" s="13"/>
      <c r="H7" s="1266">
        <f t="shared" si="0"/>
        <v>2014</v>
      </c>
      <c r="I7" s="1267" t="s">
        <v>2594</v>
      </c>
      <c r="J7" s="1262">
        <f t="shared" si="1"/>
        <v>-75.72</v>
      </c>
      <c r="K7" s="1257"/>
      <c r="L7" s="13"/>
      <c r="M7" s="1266">
        <f t="shared" si="2"/>
        <v>2014</v>
      </c>
      <c r="N7" s="1267" t="s">
        <v>2594</v>
      </c>
      <c r="O7" s="1262">
        <f t="shared" si="3"/>
        <v>-149.51999999999998</v>
      </c>
    </row>
    <row r="8" spans="1:15" x14ac:dyDescent="0.25">
      <c r="A8" s="1255">
        <v>2015</v>
      </c>
      <c r="B8" s="1267" t="s">
        <v>2594</v>
      </c>
      <c r="C8" s="1267" t="s">
        <v>2594</v>
      </c>
      <c r="D8" s="1264">
        <f t="shared" si="4"/>
        <v>-71.900000000000006</v>
      </c>
      <c r="E8" s="1277" t="s">
        <v>2595</v>
      </c>
      <c r="G8" s="13"/>
      <c r="H8" s="1266">
        <f t="shared" si="0"/>
        <v>2015</v>
      </c>
      <c r="I8" s="1267" t="s">
        <v>2594</v>
      </c>
      <c r="J8" s="1262">
        <f t="shared" si="1"/>
        <v>-75.7</v>
      </c>
      <c r="K8" s="1257"/>
      <c r="L8" s="13"/>
      <c r="M8" s="1266">
        <f t="shared" si="2"/>
        <v>2015</v>
      </c>
      <c r="N8" s="1267" t="s">
        <v>2594</v>
      </c>
      <c r="O8" s="1262">
        <f t="shared" si="3"/>
        <v>-149.5</v>
      </c>
    </row>
    <row r="9" spans="1:15" x14ac:dyDescent="0.25">
      <c r="A9" s="1255">
        <v>2016</v>
      </c>
      <c r="B9" s="1267" t="s">
        <v>2594</v>
      </c>
      <c r="C9" s="1267" t="s">
        <v>2594</v>
      </c>
      <c r="D9" s="1264">
        <f t="shared" si="4"/>
        <v>-71.88</v>
      </c>
      <c r="E9" s="1277" t="s">
        <v>2595</v>
      </c>
      <c r="G9" s="13"/>
      <c r="H9" s="1266">
        <f t="shared" si="0"/>
        <v>2016</v>
      </c>
      <c r="I9" s="1267" t="s">
        <v>2594</v>
      </c>
      <c r="J9" s="1262">
        <f t="shared" si="1"/>
        <v>-75.679999999999993</v>
      </c>
      <c r="K9" s="1257"/>
      <c r="L9" s="13"/>
      <c r="M9" s="1266">
        <f t="shared" si="2"/>
        <v>2016</v>
      </c>
      <c r="N9" s="1267" t="s">
        <v>2594</v>
      </c>
      <c r="O9" s="1262">
        <f t="shared" si="3"/>
        <v>-149.47999999999999</v>
      </c>
    </row>
    <row r="10" spans="1:15" x14ac:dyDescent="0.25">
      <c r="A10" s="1255">
        <v>2017</v>
      </c>
      <c r="B10" s="1267" t="s">
        <v>2594</v>
      </c>
      <c r="C10" s="1267" t="s">
        <v>2594</v>
      </c>
      <c r="D10" s="1264">
        <f t="shared" si="4"/>
        <v>-71.86</v>
      </c>
      <c r="E10" s="1277" t="s">
        <v>2595</v>
      </c>
      <c r="G10" s="13"/>
      <c r="H10" s="1266">
        <f t="shared" si="0"/>
        <v>2017</v>
      </c>
      <c r="I10" s="1267" t="s">
        <v>2594</v>
      </c>
      <c r="J10" s="1262">
        <f t="shared" si="1"/>
        <v>-75.66</v>
      </c>
      <c r="K10" s="1257"/>
      <c r="L10" s="13"/>
      <c r="M10" s="1266">
        <f t="shared" si="2"/>
        <v>2017</v>
      </c>
      <c r="N10" s="1267" t="s">
        <v>2594</v>
      </c>
      <c r="O10" s="1262">
        <f t="shared" si="3"/>
        <v>-149.45999999999998</v>
      </c>
    </row>
    <row r="11" spans="1:15" x14ac:dyDescent="0.25">
      <c r="A11" s="1255">
        <v>2018</v>
      </c>
      <c r="B11" s="1267" t="s">
        <v>2594</v>
      </c>
      <c r="C11" s="1267" t="s">
        <v>2594</v>
      </c>
      <c r="D11" s="1264">
        <f t="shared" si="4"/>
        <v>-71.84</v>
      </c>
      <c r="E11" s="1277" t="s">
        <v>2595</v>
      </c>
      <c r="G11" s="13"/>
      <c r="H11" s="1266">
        <f t="shared" si="0"/>
        <v>2018</v>
      </c>
      <c r="I11" s="1267" t="s">
        <v>2594</v>
      </c>
      <c r="J11" s="1262">
        <f t="shared" si="1"/>
        <v>-75.64</v>
      </c>
      <c r="K11" s="1257"/>
      <c r="L11" s="13"/>
      <c r="M11" s="1266">
        <f t="shared" si="2"/>
        <v>2018</v>
      </c>
      <c r="N11" s="1267" t="s">
        <v>2594</v>
      </c>
      <c r="O11" s="1262">
        <f t="shared" si="3"/>
        <v>-149.44</v>
      </c>
    </row>
    <row r="12" spans="1:15" x14ac:dyDescent="0.25">
      <c r="A12" s="1255">
        <v>2019</v>
      </c>
      <c r="B12" s="1267" t="s">
        <v>2594</v>
      </c>
      <c r="C12" s="1267" t="s">
        <v>2594</v>
      </c>
      <c r="D12" s="1264">
        <f t="shared" si="4"/>
        <v>-71.819999999999993</v>
      </c>
      <c r="E12" s="1277" t="s">
        <v>2595</v>
      </c>
      <c r="G12" s="13"/>
      <c r="H12" s="1266">
        <f t="shared" si="0"/>
        <v>2019</v>
      </c>
      <c r="I12" s="1267" t="s">
        <v>2594</v>
      </c>
      <c r="J12" s="1262">
        <f t="shared" si="1"/>
        <v>-75.61999999999999</v>
      </c>
      <c r="K12" s="1257"/>
      <c r="L12" s="13"/>
      <c r="M12" s="1266">
        <f t="shared" si="2"/>
        <v>2019</v>
      </c>
      <c r="N12" s="1267" t="s">
        <v>2594</v>
      </c>
      <c r="O12" s="1262">
        <f t="shared" si="3"/>
        <v>-149.41999999999999</v>
      </c>
    </row>
    <row r="13" spans="1:15" x14ac:dyDescent="0.25">
      <c r="A13" s="1255">
        <v>2020</v>
      </c>
      <c r="B13" s="1267" t="s">
        <v>2594</v>
      </c>
      <c r="C13" s="1267" t="s">
        <v>2594</v>
      </c>
      <c r="D13" s="1262">
        <v>-71.8</v>
      </c>
      <c r="E13" s="1276" t="s">
        <v>2430</v>
      </c>
      <c r="G13" s="13"/>
      <c r="H13" s="1266">
        <f t="shared" si="0"/>
        <v>2020</v>
      </c>
      <c r="I13" s="1267" t="s">
        <v>2594</v>
      </c>
      <c r="J13" s="1262">
        <f t="shared" si="1"/>
        <v>-75.599999999999994</v>
      </c>
      <c r="K13" s="1257"/>
      <c r="L13" s="13"/>
      <c r="M13" s="1266">
        <f t="shared" si="2"/>
        <v>2020</v>
      </c>
      <c r="N13" s="1267" t="s">
        <v>2594</v>
      </c>
      <c r="O13" s="1262">
        <f t="shared" si="3"/>
        <v>-149.39999999999998</v>
      </c>
    </row>
    <row r="14" spans="1:15" x14ac:dyDescent="0.25">
      <c r="A14" s="1255">
        <v>2021</v>
      </c>
      <c r="B14" s="1267" t="s">
        <v>2594</v>
      </c>
      <c r="C14" s="1267" t="s">
        <v>2594</v>
      </c>
      <c r="D14" s="1264">
        <f>D$13+(D$23-D$13)/($A$23-$A$13)*($A14-$A$13)</f>
        <v>-72.08</v>
      </c>
      <c r="E14" s="1277" t="s">
        <v>2595</v>
      </c>
      <c r="G14" s="13"/>
      <c r="H14" s="1266">
        <f t="shared" si="0"/>
        <v>2021</v>
      </c>
      <c r="I14" s="1267" t="s">
        <v>2594</v>
      </c>
      <c r="J14" s="1262">
        <f t="shared" si="1"/>
        <v>-75.88</v>
      </c>
      <c r="K14" s="1257"/>
      <c r="L14" s="1257"/>
      <c r="M14" s="1266">
        <f t="shared" si="2"/>
        <v>2021</v>
      </c>
      <c r="N14" s="1267" t="s">
        <v>2594</v>
      </c>
      <c r="O14" s="1262">
        <f t="shared" si="3"/>
        <v>-149.68</v>
      </c>
    </row>
    <row r="15" spans="1:15" x14ac:dyDescent="0.25">
      <c r="A15" s="1255">
        <v>2022</v>
      </c>
      <c r="B15" s="1267" t="s">
        <v>2594</v>
      </c>
      <c r="C15" s="1267" t="s">
        <v>2594</v>
      </c>
      <c r="D15" s="1264">
        <f t="shared" ref="D15:D22" si="5">D$13+(D$23-D$13)/($A$23-$A$13)*($A15-$A$13)</f>
        <v>-72.36</v>
      </c>
      <c r="E15" s="1277" t="s">
        <v>2595</v>
      </c>
      <c r="G15" s="13"/>
      <c r="H15" s="1266">
        <f t="shared" si="0"/>
        <v>2022</v>
      </c>
      <c r="I15" s="1267" t="s">
        <v>2594</v>
      </c>
      <c r="J15" s="1262">
        <f t="shared" si="1"/>
        <v>-76.16</v>
      </c>
      <c r="K15" s="1257"/>
      <c r="L15" s="1257"/>
      <c r="M15" s="1266">
        <f t="shared" si="2"/>
        <v>2022</v>
      </c>
      <c r="N15" s="1267" t="s">
        <v>2594</v>
      </c>
      <c r="O15" s="1262">
        <f t="shared" si="3"/>
        <v>-149.95999999999998</v>
      </c>
    </row>
    <row r="16" spans="1:15" x14ac:dyDescent="0.25">
      <c r="A16" s="1255">
        <v>2023</v>
      </c>
      <c r="B16" s="1267" t="s">
        <v>2594</v>
      </c>
      <c r="C16" s="1267" t="s">
        <v>2594</v>
      </c>
      <c r="D16" s="1264">
        <f t="shared" si="5"/>
        <v>-72.64</v>
      </c>
      <c r="E16" s="1277" t="s">
        <v>2595</v>
      </c>
      <c r="G16" s="13"/>
      <c r="H16" s="1266">
        <f t="shared" si="0"/>
        <v>2023</v>
      </c>
      <c r="I16" s="1267" t="s">
        <v>2594</v>
      </c>
      <c r="J16" s="1262">
        <f t="shared" si="1"/>
        <v>-76.44</v>
      </c>
      <c r="K16" s="1257"/>
      <c r="L16" s="1257"/>
      <c r="M16" s="1266">
        <f t="shared" si="2"/>
        <v>2023</v>
      </c>
      <c r="N16" s="1267" t="s">
        <v>2594</v>
      </c>
      <c r="O16" s="1262">
        <f t="shared" si="3"/>
        <v>-150.24</v>
      </c>
    </row>
    <row r="17" spans="1:15" x14ac:dyDescent="0.25">
      <c r="A17" s="1255">
        <v>2024</v>
      </c>
      <c r="B17" s="1267" t="s">
        <v>2594</v>
      </c>
      <c r="C17" s="1267" t="s">
        <v>2594</v>
      </c>
      <c r="D17" s="1264">
        <f t="shared" si="5"/>
        <v>-72.92</v>
      </c>
      <c r="E17" s="1277" t="s">
        <v>2595</v>
      </c>
      <c r="G17" s="13"/>
      <c r="H17" s="1266">
        <f t="shared" si="0"/>
        <v>2024</v>
      </c>
      <c r="I17" s="1267" t="s">
        <v>2594</v>
      </c>
      <c r="J17" s="1262">
        <f t="shared" si="1"/>
        <v>-76.72</v>
      </c>
      <c r="K17" s="1257"/>
      <c r="M17" s="1266">
        <f t="shared" si="2"/>
        <v>2024</v>
      </c>
      <c r="N17" s="1267" t="s">
        <v>2594</v>
      </c>
      <c r="O17" s="1262">
        <f t="shared" si="3"/>
        <v>-150.51999999999998</v>
      </c>
    </row>
    <row r="18" spans="1:15" x14ac:dyDescent="0.25">
      <c r="A18" s="1255">
        <v>2025</v>
      </c>
      <c r="B18" s="1267" t="s">
        <v>2594</v>
      </c>
      <c r="C18" s="1267" t="s">
        <v>2594</v>
      </c>
      <c r="D18" s="1264">
        <f t="shared" si="5"/>
        <v>-73.199999999999989</v>
      </c>
      <c r="E18" s="1277" t="s">
        <v>2595</v>
      </c>
      <c r="G18" s="13"/>
      <c r="H18" s="1266">
        <f t="shared" si="0"/>
        <v>2025</v>
      </c>
      <c r="I18" s="1267" t="s">
        <v>2594</v>
      </c>
      <c r="J18" s="1262">
        <f t="shared" si="1"/>
        <v>-76.999999999999986</v>
      </c>
      <c r="K18" s="1257"/>
      <c r="M18" s="1266">
        <f t="shared" si="2"/>
        <v>2025</v>
      </c>
      <c r="N18" s="1267" t="s">
        <v>2594</v>
      </c>
      <c r="O18" s="1262">
        <f t="shared" si="3"/>
        <v>-150.79999999999998</v>
      </c>
    </row>
    <row r="19" spans="1:15" x14ac:dyDescent="0.25">
      <c r="A19" s="1255">
        <v>2026</v>
      </c>
      <c r="B19" s="1267" t="s">
        <v>2594</v>
      </c>
      <c r="C19" s="1267" t="s">
        <v>2594</v>
      </c>
      <c r="D19" s="1264">
        <f t="shared" si="5"/>
        <v>-73.47999999999999</v>
      </c>
      <c r="E19" s="1277" t="s">
        <v>2595</v>
      </c>
      <c r="G19" s="13"/>
      <c r="H19" s="1266">
        <f t="shared" si="0"/>
        <v>2026</v>
      </c>
      <c r="I19" s="1267" t="s">
        <v>2594</v>
      </c>
      <c r="J19" s="1262">
        <f t="shared" si="1"/>
        <v>-77.279999999999987</v>
      </c>
      <c r="K19" s="1257"/>
      <c r="M19" s="1266">
        <f t="shared" si="2"/>
        <v>2026</v>
      </c>
      <c r="N19" s="1267" t="s">
        <v>2594</v>
      </c>
      <c r="O19" s="1262">
        <f t="shared" si="3"/>
        <v>-151.07999999999998</v>
      </c>
    </row>
    <row r="20" spans="1:15" x14ac:dyDescent="0.25">
      <c r="A20" s="1255">
        <v>2027</v>
      </c>
      <c r="B20" s="1267" t="s">
        <v>2594</v>
      </c>
      <c r="C20" s="1267" t="s">
        <v>2594</v>
      </c>
      <c r="D20" s="1264">
        <f t="shared" si="5"/>
        <v>-73.759999999999991</v>
      </c>
      <c r="E20" s="1277" t="s">
        <v>2595</v>
      </c>
      <c r="G20" s="13"/>
      <c r="H20" s="1266">
        <f t="shared" si="0"/>
        <v>2027</v>
      </c>
      <c r="I20" s="1267" t="s">
        <v>2594</v>
      </c>
      <c r="J20" s="1262">
        <f t="shared" si="1"/>
        <v>-77.559999999999988</v>
      </c>
      <c r="K20" s="1257"/>
      <c r="M20" s="1266">
        <f t="shared" si="2"/>
        <v>2027</v>
      </c>
      <c r="N20" s="1267" t="s">
        <v>2594</v>
      </c>
      <c r="O20" s="1262">
        <f t="shared" si="3"/>
        <v>-151.35999999999999</v>
      </c>
    </row>
    <row r="21" spans="1:15" x14ac:dyDescent="0.25">
      <c r="A21" s="1255">
        <v>2028</v>
      </c>
      <c r="B21" s="1267" t="s">
        <v>2594</v>
      </c>
      <c r="C21" s="1267" t="s">
        <v>2594</v>
      </c>
      <c r="D21" s="1264">
        <f t="shared" si="5"/>
        <v>-74.039999999999992</v>
      </c>
      <c r="E21" s="1277" t="s">
        <v>2595</v>
      </c>
      <c r="G21" s="13"/>
      <c r="H21" s="1266">
        <f t="shared" si="0"/>
        <v>2028</v>
      </c>
      <c r="I21" s="1267" t="s">
        <v>2594</v>
      </c>
      <c r="J21" s="1262">
        <f t="shared" si="1"/>
        <v>-77.839999999999989</v>
      </c>
      <c r="K21" s="1257"/>
      <c r="M21" s="1266">
        <f t="shared" si="2"/>
        <v>2028</v>
      </c>
      <c r="N21" s="1267" t="s">
        <v>2594</v>
      </c>
      <c r="O21" s="1262">
        <f t="shared" si="3"/>
        <v>-151.63999999999999</v>
      </c>
    </row>
    <row r="22" spans="1:15" x14ac:dyDescent="0.25">
      <c r="A22" s="1255">
        <v>2029</v>
      </c>
      <c r="B22" s="1267" t="s">
        <v>2594</v>
      </c>
      <c r="C22" s="1267" t="s">
        <v>2594</v>
      </c>
      <c r="D22" s="1264">
        <f t="shared" si="5"/>
        <v>-74.319999999999993</v>
      </c>
      <c r="E22" s="1277" t="s">
        <v>2595</v>
      </c>
      <c r="G22" s="13"/>
      <c r="H22" s="1266">
        <f t="shared" si="0"/>
        <v>2029</v>
      </c>
      <c r="I22" s="1267" t="s">
        <v>2594</v>
      </c>
      <c r="J22" s="1262">
        <f t="shared" si="1"/>
        <v>-78.11999999999999</v>
      </c>
      <c r="K22" s="1257"/>
      <c r="M22" s="1266">
        <f t="shared" si="2"/>
        <v>2029</v>
      </c>
      <c r="N22" s="1267" t="s">
        <v>2594</v>
      </c>
      <c r="O22" s="1262">
        <f t="shared" si="3"/>
        <v>-151.91999999999999</v>
      </c>
    </row>
    <row r="23" spans="1:15" x14ac:dyDescent="0.25">
      <c r="A23" s="1255">
        <v>2030</v>
      </c>
      <c r="B23" s="1267" t="s">
        <v>2594</v>
      </c>
      <c r="C23" s="1267" t="s">
        <v>2594</v>
      </c>
      <c r="D23" s="1264">
        <v>-74.599999999999994</v>
      </c>
      <c r="E23" s="1276" t="s">
        <v>2430</v>
      </c>
      <c r="G23" s="13"/>
      <c r="H23" s="1266">
        <f t="shared" si="0"/>
        <v>2030</v>
      </c>
      <c r="I23" s="1267" t="s">
        <v>2594</v>
      </c>
      <c r="J23" s="1262">
        <f t="shared" si="1"/>
        <v>-78.399999999999991</v>
      </c>
      <c r="K23" s="1257"/>
      <c r="M23" s="1266">
        <f t="shared" si="2"/>
        <v>2030</v>
      </c>
      <c r="N23" s="1267" t="s">
        <v>2594</v>
      </c>
      <c r="O23" s="1262">
        <f t="shared" si="3"/>
        <v>-152.19999999999999</v>
      </c>
    </row>
    <row r="25" spans="1:15" x14ac:dyDescent="0.25">
      <c r="A25" s="1272" t="s">
        <v>2597</v>
      </c>
    </row>
  </sheetData>
  <mergeCells count="2">
    <mergeCell ref="G1:J1"/>
    <mergeCell ref="L1:O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23"/>
  <sheetViews>
    <sheetView workbookViewId="0">
      <selection activeCell="B8" sqref="B8"/>
    </sheetView>
  </sheetViews>
  <sheetFormatPr defaultRowHeight="15" x14ac:dyDescent="0.25"/>
  <cols>
    <col min="1" max="16384" width="9.140625" style="534"/>
  </cols>
  <sheetData>
    <row r="1" spans="1:10" x14ac:dyDescent="0.25">
      <c r="A1" s="1254" t="s">
        <v>2586</v>
      </c>
      <c r="B1" s="1255"/>
      <c r="C1" s="1255"/>
      <c r="D1" s="1256"/>
      <c r="E1" s="1256"/>
      <c r="G1" s="1296" t="s">
        <v>2587</v>
      </c>
      <c r="H1" s="1296"/>
      <c r="I1" s="1296"/>
      <c r="J1" s="1296"/>
    </row>
    <row r="2" spans="1:10" x14ac:dyDescent="0.25">
      <c r="A2" s="1258" t="s">
        <v>2588</v>
      </c>
      <c r="B2" s="1259" t="s">
        <v>2589</v>
      </c>
      <c r="C2" s="1259" t="s">
        <v>2590</v>
      </c>
      <c r="D2" s="1259" t="s">
        <v>2591</v>
      </c>
      <c r="E2" s="1258" t="s">
        <v>2590</v>
      </c>
      <c r="G2" s="1261" t="s">
        <v>2592</v>
      </c>
      <c r="H2" s="1258" t="s">
        <v>2588</v>
      </c>
      <c r="I2" s="1258" t="str">
        <f>B2</f>
        <v xml:space="preserve">NoPolicy </v>
      </c>
      <c r="J2" s="1258" t="str">
        <f>D2</f>
        <v xml:space="preserve">NPi </v>
      </c>
    </row>
    <row r="3" spans="1:10" x14ac:dyDescent="0.25">
      <c r="A3" s="1255">
        <v>2010</v>
      </c>
      <c r="B3" s="1262">
        <v>46.892400000000002</v>
      </c>
      <c r="C3" s="1263" t="s">
        <v>2616</v>
      </c>
      <c r="D3" s="1264">
        <f>B3</f>
        <v>46.892400000000002</v>
      </c>
      <c r="E3" s="1263" t="s">
        <v>2616</v>
      </c>
      <c r="G3" s="1265">
        <f>G5-B3</f>
        <v>-35.892400000000002</v>
      </c>
      <c r="H3" s="1266">
        <f>A3</f>
        <v>2010</v>
      </c>
      <c r="I3" s="1262">
        <f>B3+$G$3</f>
        <v>11</v>
      </c>
      <c r="J3" s="1262">
        <f>D3+$G$3</f>
        <v>11</v>
      </c>
    </row>
    <row r="4" spans="1:10" x14ac:dyDescent="0.25">
      <c r="A4" s="1255">
        <v>2011</v>
      </c>
      <c r="B4" s="1262">
        <f>B$3+(B$13-B$3)/($A$13-$A$3)*($A4-$A$3)</f>
        <v>46.803160000000005</v>
      </c>
      <c r="C4" s="1268" t="s">
        <v>2595</v>
      </c>
      <c r="D4" s="1264">
        <f>D$3+(D$13-D$3)/($A$13-$A$3)*($A4-$A$3)</f>
        <v>43.303160000000005</v>
      </c>
      <c r="E4" s="1268" t="s">
        <v>2595</v>
      </c>
      <c r="G4" s="1261" t="s">
        <v>2596</v>
      </c>
      <c r="H4" s="1266">
        <f t="shared" ref="H4:H23" si="0">A4</f>
        <v>2011</v>
      </c>
      <c r="I4" s="1262">
        <f t="shared" ref="I4:I23" si="1">B4+$G$3</f>
        <v>10.910760000000003</v>
      </c>
      <c r="J4" s="1262">
        <f t="shared" ref="J4:J23" si="2">D4+$G$3</f>
        <v>7.4107600000000033</v>
      </c>
    </row>
    <row r="5" spans="1:10" x14ac:dyDescent="0.25">
      <c r="A5" s="1255">
        <v>2012</v>
      </c>
      <c r="B5" s="1262">
        <f t="shared" ref="B5:D12" si="3">B$3+(B$13-B$3)/($A$13-$A$3)*($A5-$A$3)</f>
        <v>46.713920000000002</v>
      </c>
      <c r="C5" s="1268" t="s">
        <v>2595</v>
      </c>
      <c r="D5" s="1264">
        <f t="shared" si="3"/>
        <v>39.713920000000002</v>
      </c>
      <c r="E5" s="1268" t="s">
        <v>2595</v>
      </c>
      <c r="G5" s="1269">
        <f>(-2338.2011+13338.2011)/1000</f>
        <v>11</v>
      </c>
      <c r="H5" s="1266">
        <f t="shared" si="0"/>
        <v>2012</v>
      </c>
      <c r="I5" s="1262">
        <f t="shared" si="1"/>
        <v>10.82152</v>
      </c>
      <c r="J5" s="1262">
        <f t="shared" si="2"/>
        <v>3.8215199999999996</v>
      </c>
    </row>
    <row r="6" spans="1:10" x14ac:dyDescent="0.25">
      <c r="A6" s="1255">
        <v>2013</v>
      </c>
      <c r="B6" s="1262">
        <f t="shared" si="3"/>
        <v>46.624679999999998</v>
      </c>
      <c r="C6" s="1268" t="s">
        <v>2595</v>
      </c>
      <c r="D6" s="1264">
        <f t="shared" si="3"/>
        <v>36.124679999999998</v>
      </c>
      <c r="E6" s="1268" t="s">
        <v>2595</v>
      </c>
      <c r="G6" s="13"/>
      <c r="H6" s="1266">
        <f t="shared" si="0"/>
        <v>2013</v>
      </c>
      <c r="I6" s="1262">
        <f t="shared" si="1"/>
        <v>10.732279999999996</v>
      </c>
      <c r="J6" s="1262">
        <f t="shared" si="2"/>
        <v>0.23227999999999582</v>
      </c>
    </row>
    <row r="7" spans="1:10" x14ac:dyDescent="0.25">
      <c r="A7" s="1255">
        <v>2014</v>
      </c>
      <c r="B7" s="1262">
        <f t="shared" si="3"/>
        <v>46.535440000000001</v>
      </c>
      <c r="C7" s="1268" t="s">
        <v>2595</v>
      </c>
      <c r="D7" s="1264">
        <f t="shared" si="3"/>
        <v>32.535440000000001</v>
      </c>
      <c r="E7" s="1268" t="s">
        <v>2595</v>
      </c>
      <c r="G7" s="13"/>
      <c r="H7" s="1266">
        <f t="shared" si="0"/>
        <v>2014</v>
      </c>
      <c r="I7" s="1262">
        <f t="shared" si="1"/>
        <v>10.643039999999999</v>
      </c>
      <c r="J7" s="1262">
        <f t="shared" si="2"/>
        <v>-3.3569600000000008</v>
      </c>
    </row>
    <row r="8" spans="1:10" x14ac:dyDescent="0.25">
      <c r="A8" s="1255">
        <v>2015</v>
      </c>
      <c r="B8" s="1262">
        <f t="shared" si="3"/>
        <v>46.446200000000005</v>
      </c>
      <c r="C8" s="1268" t="s">
        <v>2595</v>
      </c>
      <c r="D8" s="1264">
        <f t="shared" si="3"/>
        <v>28.946200000000001</v>
      </c>
      <c r="E8" s="1268" t="s">
        <v>2595</v>
      </c>
      <c r="G8" s="13"/>
      <c r="H8" s="1266">
        <f t="shared" si="0"/>
        <v>2015</v>
      </c>
      <c r="I8" s="1262">
        <f t="shared" si="1"/>
        <v>10.553800000000003</v>
      </c>
      <c r="J8" s="1262">
        <f t="shared" si="2"/>
        <v>-6.946200000000001</v>
      </c>
    </row>
    <row r="9" spans="1:10" x14ac:dyDescent="0.25">
      <c r="A9" s="1255">
        <v>2016</v>
      </c>
      <c r="B9" s="1262">
        <f t="shared" si="3"/>
        <v>46.356960000000001</v>
      </c>
      <c r="C9" s="1268" t="s">
        <v>2595</v>
      </c>
      <c r="D9" s="1264">
        <f t="shared" si="3"/>
        <v>25.356960000000001</v>
      </c>
      <c r="E9" s="1268" t="s">
        <v>2595</v>
      </c>
      <c r="G9" s="13"/>
      <c r="H9" s="1266">
        <f t="shared" si="0"/>
        <v>2016</v>
      </c>
      <c r="I9" s="1262">
        <f t="shared" si="1"/>
        <v>10.464559999999999</v>
      </c>
      <c r="J9" s="1262">
        <f t="shared" si="2"/>
        <v>-10.535440000000001</v>
      </c>
    </row>
    <row r="10" spans="1:10" x14ac:dyDescent="0.25">
      <c r="A10" s="1255">
        <v>2017</v>
      </c>
      <c r="B10" s="1262">
        <f t="shared" si="3"/>
        <v>46.267719999999997</v>
      </c>
      <c r="C10" s="1268" t="s">
        <v>2595</v>
      </c>
      <c r="D10" s="1264">
        <f t="shared" si="3"/>
        <v>21.767720000000001</v>
      </c>
      <c r="E10" s="1268" t="s">
        <v>2595</v>
      </c>
      <c r="G10" s="13"/>
      <c r="H10" s="1266">
        <f t="shared" si="0"/>
        <v>2017</v>
      </c>
      <c r="I10" s="1262">
        <f t="shared" si="1"/>
        <v>10.375319999999995</v>
      </c>
      <c r="J10" s="1262">
        <f t="shared" si="2"/>
        <v>-14.124680000000001</v>
      </c>
    </row>
    <row r="11" spans="1:10" x14ac:dyDescent="0.25">
      <c r="A11" s="1255">
        <v>2018</v>
      </c>
      <c r="B11" s="1262">
        <f t="shared" si="3"/>
        <v>46.17848</v>
      </c>
      <c r="C11" s="1268" t="s">
        <v>2595</v>
      </c>
      <c r="D11" s="1264">
        <f t="shared" si="3"/>
        <v>18.17848</v>
      </c>
      <c r="E11" s="1268" t="s">
        <v>2595</v>
      </c>
      <c r="G11" s="13"/>
      <c r="H11" s="1266">
        <f t="shared" si="0"/>
        <v>2018</v>
      </c>
      <c r="I11" s="1262">
        <f t="shared" si="1"/>
        <v>10.286079999999998</v>
      </c>
      <c r="J11" s="1262">
        <f t="shared" si="2"/>
        <v>-17.713920000000002</v>
      </c>
    </row>
    <row r="12" spans="1:10" x14ac:dyDescent="0.25">
      <c r="A12" s="1255">
        <v>2019</v>
      </c>
      <c r="B12" s="1262">
        <f t="shared" si="3"/>
        <v>46.089240000000004</v>
      </c>
      <c r="C12" s="1268" t="s">
        <v>2595</v>
      </c>
      <c r="D12" s="1264">
        <f t="shared" si="3"/>
        <v>14.589239999999997</v>
      </c>
      <c r="E12" s="1268" t="s">
        <v>2595</v>
      </c>
      <c r="G12" s="13"/>
      <c r="H12" s="1266">
        <f t="shared" si="0"/>
        <v>2019</v>
      </c>
      <c r="I12" s="1262">
        <f t="shared" si="1"/>
        <v>10.196840000000002</v>
      </c>
      <c r="J12" s="1262">
        <f t="shared" si="2"/>
        <v>-21.303160000000005</v>
      </c>
    </row>
    <row r="13" spans="1:10" x14ac:dyDescent="0.25">
      <c r="A13" s="1255">
        <v>2020</v>
      </c>
      <c r="B13" s="1262">
        <v>46</v>
      </c>
      <c r="C13" s="1268" t="s">
        <v>2616</v>
      </c>
      <c r="D13" s="1264">
        <v>11</v>
      </c>
      <c r="E13" s="1268" t="s">
        <v>2616</v>
      </c>
      <c r="G13" s="13"/>
      <c r="H13" s="1266">
        <f t="shared" si="0"/>
        <v>2020</v>
      </c>
      <c r="I13" s="1262">
        <f t="shared" si="1"/>
        <v>10.107599999999998</v>
      </c>
      <c r="J13" s="1262">
        <f t="shared" si="2"/>
        <v>-24.892400000000002</v>
      </c>
    </row>
    <row r="14" spans="1:10" x14ac:dyDescent="0.25">
      <c r="A14" s="1255">
        <v>2021</v>
      </c>
      <c r="B14" s="1262">
        <f>B13</f>
        <v>46</v>
      </c>
      <c r="C14" s="1268" t="s">
        <v>2610</v>
      </c>
      <c r="D14" s="1262">
        <f>D13</f>
        <v>11</v>
      </c>
      <c r="E14" s="1268" t="s">
        <v>2610</v>
      </c>
      <c r="G14" s="1257"/>
      <c r="H14" s="1266">
        <f t="shared" si="0"/>
        <v>2021</v>
      </c>
      <c r="I14" s="1262">
        <f t="shared" si="1"/>
        <v>10.107599999999998</v>
      </c>
      <c r="J14" s="1262">
        <f>D14+$G$3</f>
        <v>-24.892400000000002</v>
      </c>
    </row>
    <row r="15" spans="1:10" x14ac:dyDescent="0.25">
      <c r="A15" s="1255">
        <v>2022</v>
      </c>
      <c r="B15" s="1262">
        <f t="shared" ref="B15:B23" si="4">B14</f>
        <v>46</v>
      </c>
      <c r="C15" s="1268" t="s">
        <v>2610</v>
      </c>
      <c r="D15" s="1262">
        <f t="shared" ref="D15:D23" si="5">D14</f>
        <v>11</v>
      </c>
      <c r="E15" s="1268" t="s">
        <v>2610</v>
      </c>
      <c r="G15" s="1257"/>
      <c r="H15" s="1266">
        <f t="shared" si="0"/>
        <v>2022</v>
      </c>
      <c r="I15" s="1262">
        <f t="shared" si="1"/>
        <v>10.107599999999998</v>
      </c>
      <c r="J15" s="1262">
        <f t="shared" si="2"/>
        <v>-24.892400000000002</v>
      </c>
    </row>
    <row r="16" spans="1:10" x14ac:dyDescent="0.25">
      <c r="A16" s="1255">
        <v>2023</v>
      </c>
      <c r="B16" s="1262">
        <f t="shared" si="4"/>
        <v>46</v>
      </c>
      <c r="C16" s="1268" t="s">
        <v>2610</v>
      </c>
      <c r="D16" s="1262">
        <f t="shared" si="5"/>
        <v>11</v>
      </c>
      <c r="E16" s="1268" t="s">
        <v>2610</v>
      </c>
      <c r="G16" s="1257"/>
      <c r="H16" s="1266">
        <f t="shared" si="0"/>
        <v>2023</v>
      </c>
      <c r="I16" s="1262">
        <f t="shared" si="1"/>
        <v>10.107599999999998</v>
      </c>
      <c r="J16" s="1262">
        <f t="shared" si="2"/>
        <v>-24.892400000000002</v>
      </c>
    </row>
    <row r="17" spans="1:10" x14ac:dyDescent="0.25">
      <c r="A17" s="1255">
        <v>2024</v>
      </c>
      <c r="B17" s="1262">
        <f t="shared" si="4"/>
        <v>46</v>
      </c>
      <c r="C17" s="1268" t="s">
        <v>2610</v>
      </c>
      <c r="D17" s="1262">
        <f t="shared" si="5"/>
        <v>11</v>
      </c>
      <c r="E17" s="1268" t="s">
        <v>2610</v>
      </c>
      <c r="H17" s="1266">
        <f t="shared" si="0"/>
        <v>2024</v>
      </c>
      <c r="I17" s="1262">
        <f t="shared" si="1"/>
        <v>10.107599999999998</v>
      </c>
      <c r="J17" s="1262">
        <f t="shared" si="2"/>
        <v>-24.892400000000002</v>
      </c>
    </row>
    <row r="18" spans="1:10" x14ac:dyDescent="0.25">
      <c r="A18" s="1255">
        <v>2025</v>
      </c>
      <c r="B18" s="1262">
        <f t="shared" si="4"/>
        <v>46</v>
      </c>
      <c r="C18" s="1268" t="s">
        <v>2610</v>
      </c>
      <c r="D18" s="1262">
        <f t="shared" si="5"/>
        <v>11</v>
      </c>
      <c r="E18" s="1268" t="s">
        <v>2610</v>
      </c>
      <c r="H18" s="1266">
        <f t="shared" si="0"/>
        <v>2025</v>
      </c>
      <c r="I18" s="1262">
        <f t="shared" si="1"/>
        <v>10.107599999999998</v>
      </c>
      <c r="J18" s="1262">
        <f t="shared" si="2"/>
        <v>-24.892400000000002</v>
      </c>
    </row>
    <row r="19" spans="1:10" x14ac:dyDescent="0.25">
      <c r="A19" s="1255">
        <v>2026</v>
      </c>
      <c r="B19" s="1262">
        <f t="shared" si="4"/>
        <v>46</v>
      </c>
      <c r="C19" s="1268" t="s">
        <v>2610</v>
      </c>
      <c r="D19" s="1262">
        <f t="shared" si="5"/>
        <v>11</v>
      </c>
      <c r="E19" s="1268" t="s">
        <v>2610</v>
      </c>
      <c r="H19" s="1266">
        <f t="shared" si="0"/>
        <v>2026</v>
      </c>
      <c r="I19" s="1262">
        <f t="shared" si="1"/>
        <v>10.107599999999998</v>
      </c>
      <c r="J19" s="1262">
        <f t="shared" si="2"/>
        <v>-24.892400000000002</v>
      </c>
    </row>
    <row r="20" spans="1:10" x14ac:dyDescent="0.25">
      <c r="A20" s="1255">
        <v>2027</v>
      </c>
      <c r="B20" s="1262">
        <f t="shared" si="4"/>
        <v>46</v>
      </c>
      <c r="C20" s="1268" t="s">
        <v>2610</v>
      </c>
      <c r="D20" s="1262">
        <f t="shared" si="5"/>
        <v>11</v>
      </c>
      <c r="E20" s="1268" t="s">
        <v>2610</v>
      </c>
      <c r="H20" s="1266">
        <f t="shared" si="0"/>
        <v>2027</v>
      </c>
      <c r="I20" s="1262">
        <f t="shared" si="1"/>
        <v>10.107599999999998</v>
      </c>
      <c r="J20" s="1262">
        <f t="shared" si="2"/>
        <v>-24.892400000000002</v>
      </c>
    </row>
    <row r="21" spans="1:10" x14ac:dyDescent="0.25">
      <c r="A21" s="1255">
        <v>2028</v>
      </c>
      <c r="B21" s="1262">
        <f t="shared" si="4"/>
        <v>46</v>
      </c>
      <c r="C21" s="1268" t="s">
        <v>2610</v>
      </c>
      <c r="D21" s="1262">
        <f t="shared" si="5"/>
        <v>11</v>
      </c>
      <c r="E21" s="1268" t="s">
        <v>2610</v>
      </c>
      <c r="H21" s="1266">
        <f t="shared" si="0"/>
        <v>2028</v>
      </c>
      <c r="I21" s="1262">
        <f t="shared" si="1"/>
        <v>10.107599999999998</v>
      </c>
      <c r="J21" s="1262">
        <f t="shared" si="2"/>
        <v>-24.892400000000002</v>
      </c>
    </row>
    <row r="22" spans="1:10" x14ac:dyDescent="0.25">
      <c r="A22" s="1255">
        <v>2029</v>
      </c>
      <c r="B22" s="1262">
        <f t="shared" si="4"/>
        <v>46</v>
      </c>
      <c r="C22" s="1268" t="s">
        <v>2610</v>
      </c>
      <c r="D22" s="1262">
        <f t="shared" si="5"/>
        <v>11</v>
      </c>
      <c r="E22" s="1268" t="s">
        <v>2610</v>
      </c>
      <c r="H22" s="1266">
        <f t="shared" si="0"/>
        <v>2029</v>
      </c>
      <c r="I22" s="1262">
        <f t="shared" si="1"/>
        <v>10.107599999999998</v>
      </c>
      <c r="J22" s="1262">
        <f t="shared" si="2"/>
        <v>-24.892400000000002</v>
      </c>
    </row>
    <row r="23" spans="1:10" x14ac:dyDescent="0.25">
      <c r="A23" s="1255">
        <v>2030</v>
      </c>
      <c r="B23" s="1262">
        <f t="shared" si="4"/>
        <v>46</v>
      </c>
      <c r="C23" s="1268" t="s">
        <v>2610</v>
      </c>
      <c r="D23" s="1262">
        <f t="shared" si="5"/>
        <v>11</v>
      </c>
      <c r="E23" s="1268" t="s">
        <v>2610</v>
      </c>
      <c r="H23" s="1266">
        <f t="shared" si="0"/>
        <v>2030</v>
      </c>
      <c r="I23" s="1262">
        <f t="shared" si="1"/>
        <v>10.107599999999998</v>
      </c>
      <c r="J23" s="1262">
        <f t="shared" si="2"/>
        <v>-24.892400000000002</v>
      </c>
    </row>
  </sheetData>
  <mergeCells count="1">
    <mergeCell ref="G1:J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O24"/>
  <sheetViews>
    <sheetView workbookViewId="0">
      <selection activeCell="B8" sqref="B8"/>
    </sheetView>
  </sheetViews>
  <sheetFormatPr defaultRowHeight="15" x14ac:dyDescent="0.25"/>
  <cols>
    <col min="1" max="6" width="9.140625" style="534"/>
    <col min="7" max="7" width="15.42578125" style="1257" customWidth="1"/>
    <col min="8" max="8" width="9.42578125" style="1257" customWidth="1"/>
    <col min="9" max="11" width="9.140625" style="534"/>
    <col min="12" max="12" width="9.7109375" style="534" customWidth="1"/>
    <col min="13" max="16384" width="9.140625" style="534"/>
  </cols>
  <sheetData>
    <row r="1" spans="1:15" x14ac:dyDescent="0.25">
      <c r="A1" s="1273" t="s">
        <v>2598</v>
      </c>
      <c r="B1" s="536"/>
      <c r="C1" s="536"/>
      <c r="D1" s="12"/>
      <c r="E1" s="12"/>
      <c r="G1" s="1296" t="s">
        <v>2617</v>
      </c>
      <c r="H1" s="1296"/>
      <c r="I1" s="1296"/>
      <c r="J1" s="1296"/>
      <c r="L1" s="1296" t="s">
        <v>2587</v>
      </c>
      <c r="M1" s="1296"/>
      <c r="N1" s="1296"/>
      <c r="O1" s="1296"/>
    </row>
    <row r="2" spans="1:15" x14ac:dyDescent="0.25">
      <c r="A2" s="1258" t="s">
        <v>2588</v>
      </c>
      <c r="B2" s="1259" t="s">
        <v>2589</v>
      </c>
      <c r="C2" s="1258" t="s">
        <v>2590</v>
      </c>
      <c r="D2" s="1259" t="s">
        <v>2591</v>
      </c>
      <c r="E2" s="1258" t="s">
        <v>2590</v>
      </c>
      <c r="G2" s="1261" t="s">
        <v>2618</v>
      </c>
      <c r="H2" s="1285" t="s">
        <v>2588</v>
      </c>
      <c r="I2" s="1259" t="str">
        <f>B2</f>
        <v xml:space="preserve">NoPolicy </v>
      </c>
      <c r="J2" s="1259" t="str">
        <f>D2</f>
        <v xml:space="preserve">NPi </v>
      </c>
      <c r="L2" s="1261" t="s">
        <v>2592</v>
      </c>
      <c r="M2" s="1258" t="s">
        <v>2588</v>
      </c>
      <c r="N2" s="1258" t="str">
        <f>I2</f>
        <v xml:space="preserve">NoPolicy </v>
      </c>
      <c r="O2" s="1259" t="s">
        <v>2591</v>
      </c>
    </row>
    <row r="3" spans="1:15" x14ac:dyDescent="0.25">
      <c r="A3" s="1255">
        <v>2010</v>
      </c>
      <c r="B3" s="1262">
        <v>-704.13333333333333</v>
      </c>
      <c r="C3" s="1267" t="s">
        <v>2608</v>
      </c>
      <c r="D3" s="1264">
        <v>-689.46666666666658</v>
      </c>
      <c r="E3" s="1267" t="s">
        <v>2608</v>
      </c>
      <c r="G3" s="1265">
        <f>G7-B3</f>
        <v>75.733333333333348</v>
      </c>
      <c r="H3" s="1286">
        <v>2010</v>
      </c>
      <c r="I3" s="1262">
        <f>B3+$G$3</f>
        <v>-628.4</v>
      </c>
      <c r="J3" s="1262">
        <f>D3+$G$5</f>
        <v>-628.4</v>
      </c>
      <c r="L3" s="1265">
        <f>L5-I3</f>
        <v>415.73333329999997</v>
      </c>
      <c r="M3" s="1266">
        <f>A3</f>
        <v>2010</v>
      </c>
      <c r="N3" s="1262">
        <f>I3+$L$3</f>
        <v>-212.66666670000001</v>
      </c>
      <c r="O3" s="1262">
        <f>J3+$L$3</f>
        <v>-212.66666670000001</v>
      </c>
    </row>
    <row r="4" spans="1:15" x14ac:dyDescent="0.25">
      <c r="A4" s="1255">
        <v>2011</v>
      </c>
      <c r="B4" s="1262">
        <f>B$3+(B$13-B$3)/($A$13-$A$3)*($A4-$A$3)</f>
        <v>-692.47333333333336</v>
      </c>
      <c r="C4" s="1277" t="s">
        <v>2595</v>
      </c>
      <c r="D4" s="1264">
        <f>D$3+(D$13-D$3)/($A$13-$A$3)*($A4-$A$3)</f>
        <v>-661.30666666666662</v>
      </c>
      <c r="E4" s="1277" t="s">
        <v>2595</v>
      </c>
      <c r="G4" s="1261" t="s">
        <v>2619</v>
      </c>
      <c r="H4" s="1286">
        <v>2011</v>
      </c>
      <c r="I4" s="1262">
        <f t="shared" ref="I4:I23" si="0">B4+$G$3</f>
        <v>-616.74</v>
      </c>
      <c r="J4" s="1262">
        <f t="shared" ref="J4:J23" si="1">D4+$G$5</f>
        <v>-600.24</v>
      </c>
      <c r="L4" s="1261" t="s">
        <v>2596</v>
      </c>
      <c r="M4" s="1266">
        <f t="shared" ref="M4:M23" si="2">A4</f>
        <v>2011</v>
      </c>
      <c r="N4" s="1262">
        <f t="shared" ref="N4:O23" si="3">I4+$L$3</f>
        <v>-201.00666670000004</v>
      </c>
      <c r="O4" s="1262">
        <f t="shared" si="3"/>
        <v>-184.50666670000004</v>
      </c>
    </row>
    <row r="5" spans="1:15" x14ac:dyDescent="0.25">
      <c r="A5" s="1255">
        <v>2012</v>
      </c>
      <c r="B5" s="1262">
        <f t="shared" ref="B5:D12" si="4">B$3+(B$13-B$3)/($A$13-$A$3)*($A5-$A$3)</f>
        <v>-680.81333333333328</v>
      </c>
      <c r="C5" s="1277" t="s">
        <v>2595</v>
      </c>
      <c r="D5" s="1264">
        <f t="shared" si="4"/>
        <v>-633.14666666666653</v>
      </c>
      <c r="E5" s="1277" t="s">
        <v>2595</v>
      </c>
      <c r="G5" s="1265">
        <f>G7-D3</f>
        <v>61.066666666666606</v>
      </c>
      <c r="H5" s="1286">
        <v>2012</v>
      </c>
      <c r="I5" s="1262">
        <f t="shared" si="0"/>
        <v>-605.07999999999993</v>
      </c>
      <c r="J5" s="1262">
        <f t="shared" si="1"/>
        <v>-572.07999999999993</v>
      </c>
      <c r="L5" s="1269">
        <f>(-212666.6667+0)/1000</f>
        <v>-212.66666670000001</v>
      </c>
      <c r="M5" s="1266">
        <f t="shared" si="2"/>
        <v>2012</v>
      </c>
      <c r="N5" s="1262">
        <f t="shared" si="3"/>
        <v>-189.34666669999996</v>
      </c>
      <c r="O5" s="1262">
        <f t="shared" si="3"/>
        <v>-156.34666669999996</v>
      </c>
    </row>
    <row r="6" spans="1:15" x14ac:dyDescent="0.25">
      <c r="A6" s="1255">
        <v>2013</v>
      </c>
      <c r="B6" s="1262">
        <f t="shared" si="4"/>
        <v>-669.15333333333331</v>
      </c>
      <c r="C6" s="1277" t="s">
        <v>2595</v>
      </c>
      <c r="D6" s="1264">
        <f t="shared" si="4"/>
        <v>-604.98666666666657</v>
      </c>
      <c r="E6" s="1277" t="s">
        <v>2595</v>
      </c>
      <c r="G6" s="1261" t="s">
        <v>2620</v>
      </c>
      <c r="H6" s="1286">
        <v>2013</v>
      </c>
      <c r="I6" s="1262">
        <f t="shared" si="0"/>
        <v>-593.41999999999996</v>
      </c>
      <c r="J6" s="1262">
        <f t="shared" si="1"/>
        <v>-543.91999999999996</v>
      </c>
      <c r="L6" s="13"/>
      <c r="M6" s="1266">
        <f t="shared" si="2"/>
        <v>2013</v>
      </c>
      <c r="N6" s="1262">
        <f t="shared" si="3"/>
        <v>-177.68666669999999</v>
      </c>
      <c r="O6" s="1262">
        <f t="shared" si="3"/>
        <v>-128.18666669999999</v>
      </c>
    </row>
    <row r="7" spans="1:15" x14ac:dyDescent="0.25">
      <c r="A7" s="1255">
        <v>2014</v>
      </c>
      <c r="B7" s="1262">
        <f t="shared" si="4"/>
        <v>-657.49333333333334</v>
      </c>
      <c r="C7" s="1277" t="s">
        <v>2595</v>
      </c>
      <c r="D7" s="1264">
        <f t="shared" si="4"/>
        <v>-576.8266666666666</v>
      </c>
      <c r="E7" s="1277" t="s">
        <v>2595</v>
      </c>
      <c r="G7" s="1265">
        <v>-628.4</v>
      </c>
      <c r="H7" s="1286">
        <v>2014</v>
      </c>
      <c r="I7" s="1262">
        <f t="shared" si="0"/>
        <v>-581.76</v>
      </c>
      <c r="J7" s="1262">
        <f t="shared" si="1"/>
        <v>-515.76</v>
      </c>
      <c r="L7" s="13"/>
      <c r="M7" s="1266">
        <f t="shared" si="2"/>
        <v>2014</v>
      </c>
      <c r="N7" s="1262">
        <f t="shared" si="3"/>
        <v>-166.02666670000002</v>
      </c>
      <c r="O7" s="1262">
        <f t="shared" si="3"/>
        <v>-100.02666670000002</v>
      </c>
    </row>
    <row r="8" spans="1:15" x14ac:dyDescent="0.25">
      <c r="A8" s="1255">
        <v>2015</v>
      </c>
      <c r="B8" s="1262">
        <f t="shared" si="4"/>
        <v>-645.83333333333326</v>
      </c>
      <c r="C8" s="1277" t="s">
        <v>2595</v>
      </c>
      <c r="D8" s="1264">
        <f t="shared" si="4"/>
        <v>-548.66666666666663</v>
      </c>
      <c r="E8" s="1277" t="s">
        <v>2595</v>
      </c>
      <c r="H8" s="1286">
        <v>2015</v>
      </c>
      <c r="I8" s="1262">
        <f t="shared" si="0"/>
        <v>-570.09999999999991</v>
      </c>
      <c r="J8" s="1262">
        <f t="shared" si="1"/>
        <v>-487.6</v>
      </c>
      <c r="L8" s="13"/>
      <c r="M8" s="1266">
        <f t="shared" si="2"/>
        <v>2015</v>
      </c>
      <c r="N8" s="1262">
        <f t="shared" si="3"/>
        <v>-154.36666669999994</v>
      </c>
      <c r="O8" s="1262">
        <f t="shared" si="3"/>
        <v>-71.866666700000053</v>
      </c>
    </row>
    <row r="9" spans="1:15" x14ac:dyDescent="0.25">
      <c r="A9" s="1255">
        <v>2016</v>
      </c>
      <c r="B9" s="1262">
        <f t="shared" si="4"/>
        <v>-634.17333333333329</v>
      </c>
      <c r="C9" s="1277" t="s">
        <v>2595</v>
      </c>
      <c r="D9" s="1264">
        <f t="shared" si="4"/>
        <v>-520.50666666666666</v>
      </c>
      <c r="E9" s="1277" t="s">
        <v>2595</v>
      </c>
      <c r="H9" s="1286">
        <v>2016</v>
      </c>
      <c r="I9" s="1262">
        <f t="shared" si="0"/>
        <v>-558.43999999999994</v>
      </c>
      <c r="J9" s="1262">
        <f t="shared" si="1"/>
        <v>-459.44000000000005</v>
      </c>
      <c r="L9" s="13"/>
      <c r="M9" s="1266">
        <f t="shared" si="2"/>
        <v>2016</v>
      </c>
      <c r="N9" s="1262">
        <f t="shared" si="3"/>
        <v>-142.70666669999997</v>
      </c>
      <c r="O9" s="1262">
        <f t="shared" si="3"/>
        <v>-43.706666700000085</v>
      </c>
    </row>
    <row r="10" spans="1:15" x14ac:dyDescent="0.25">
      <c r="A10" s="1255">
        <v>2017</v>
      </c>
      <c r="B10" s="1262">
        <f t="shared" si="4"/>
        <v>-622.51333333333332</v>
      </c>
      <c r="C10" s="1277" t="s">
        <v>2595</v>
      </c>
      <c r="D10" s="1264">
        <f t="shared" si="4"/>
        <v>-492.34666666666658</v>
      </c>
      <c r="E10" s="1277" t="s">
        <v>2595</v>
      </c>
      <c r="H10" s="1286">
        <v>2017</v>
      </c>
      <c r="I10" s="1262">
        <f t="shared" si="0"/>
        <v>-546.78</v>
      </c>
      <c r="J10" s="1262">
        <f t="shared" si="1"/>
        <v>-431.28</v>
      </c>
      <c r="L10" s="13"/>
      <c r="M10" s="1266">
        <f t="shared" si="2"/>
        <v>2017</v>
      </c>
      <c r="N10" s="1262">
        <f t="shared" si="3"/>
        <v>-131.0466667</v>
      </c>
      <c r="O10" s="1262">
        <f t="shared" si="3"/>
        <v>-15.546666700000003</v>
      </c>
    </row>
    <row r="11" spans="1:15" x14ac:dyDescent="0.25">
      <c r="A11" s="1255">
        <v>2018</v>
      </c>
      <c r="B11" s="1262">
        <f t="shared" si="4"/>
        <v>-610.85333333333335</v>
      </c>
      <c r="C11" s="1277" t="s">
        <v>2595</v>
      </c>
      <c r="D11" s="1264">
        <f t="shared" si="4"/>
        <v>-464.18666666666661</v>
      </c>
      <c r="E11" s="1277" t="s">
        <v>2595</v>
      </c>
      <c r="H11" s="1286">
        <v>2018</v>
      </c>
      <c r="I11" s="1262">
        <f t="shared" si="0"/>
        <v>-535.12</v>
      </c>
      <c r="J11" s="1262">
        <f t="shared" si="1"/>
        <v>-403.12</v>
      </c>
      <c r="L11" s="13"/>
      <c r="M11" s="1266">
        <f t="shared" si="2"/>
        <v>2018</v>
      </c>
      <c r="N11" s="1262">
        <f t="shared" si="3"/>
        <v>-119.38666670000003</v>
      </c>
      <c r="O11" s="1262">
        <f t="shared" si="3"/>
        <v>12.613333299999965</v>
      </c>
    </row>
    <row r="12" spans="1:15" x14ac:dyDescent="0.25">
      <c r="A12" s="1255">
        <v>2019</v>
      </c>
      <c r="B12" s="1262">
        <f t="shared" si="4"/>
        <v>-599.19333333333327</v>
      </c>
      <c r="C12" s="1277" t="s">
        <v>2595</v>
      </c>
      <c r="D12" s="1264">
        <f t="shared" si="4"/>
        <v>-436.02666666666664</v>
      </c>
      <c r="E12" s="1277" t="s">
        <v>2595</v>
      </c>
      <c r="H12" s="1286">
        <v>2019</v>
      </c>
      <c r="I12" s="1262">
        <f t="shared" si="0"/>
        <v>-523.45999999999992</v>
      </c>
      <c r="J12" s="1262">
        <f t="shared" si="1"/>
        <v>-374.96000000000004</v>
      </c>
      <c r="L12" s="13"/>
      <c r="M12" s="1266">
        <f t="shared" si="2"/>
        <v>2019</v>
      </c>
      <c r="N12" s="1262">
        <f t="shared" si="3"/>
        <v>-107.72666669999995</v>
      </c>
      <c r="O12" s="1262">
        <f t="shared" si="3"/>
        <v>40.773333299999933</v>
      </c>
    </row>
    <row r="13" spans="1:15" x14ac:dyDescent="0.25">
      <c r="A13" s="1255">
        <v>2020</v>
      </c>
      <c r="B13" s="1262">
        <v>-587.5333333333333</v>
      </c>
      <c r="C13" s="1267" t="s">
        <v>2608</v>
      </c>
      <c r="D13" s="1262">
        <v>-407.86666666666662</v>
      </c>
      <c r="E13" s="1267" t="s">
        <v>2608</v>
      </c>
      <c r="H13" s="1286">
        <v>2020</v>
      </c>
      <c r="I13" s="1262">
        <f t="shared" si="0"/>
        <v>-511.79999999999995</v>
      </c>
      <c r="J13" s="1262">
        <f t="shared" si="1"/>
        <v>-346.8</v>
      </c>
      <c r="L13" s="13"/>
      <c r="M13" s="1266">
        <f t="shared" si="2"/>
        <v>2020</v>
      </c>
      <c r="N13" s="1262">
        <f t="shared" si="3"/>
        <v>-96.066666699999985</v>
      </c>
      <c r="O13" s="1262">
        <f t="shared" si="3"/>
        <v>68.933333299999958</v>
      </c>
    </row>
    <row r="14" spans="1:15" x14ac:dyDescent="0.25">
      <c r="A14" s="1255">
        <v>2021</v>
      </c>
      <c r="B14" s="1262">
        <f>B$13+(B$23-B$13)/($A$23-$A$13)*($A14-$A$13)</f>
        <v>-574.99333333333334</v>
      </c>
      <c r="C14" s="1277" t="s">
        <v>2595</v>
      </c>
      <c r="D14" s="1262">
        <f>D$13+(D$23-D$13)/($A$23-$A$13)*($A14-$A$13)</f>
        <v>-398.62666666666661</v>
      </c>
      <c r="E14" s="1277" t="s">
        <v>2595</v>
      </c>
      <c r="H14" s="1286">
        <v>2021</v>
      </c>
      <c r="I14" s="1262">
        <f t="shared" si="0"/>
        <v>-499.26</v>
      </c>
      <c r="J14" s="1262">
        <f t="shared" si="1"/>
        <v>-337.56</v>
      </c>
      <c r="L14" s="1257"/>
      <c r="M14" s="1266">
        <f t="shared" si="2"/>
        <v>2021</v>
      </c>
      <c r="N14" s="1262">
        <f t="shared" si="3"/>
        <v>-83.526666700000021</v>
      </c>
      <c r="O14" s="1262">
        <f t="shared" si="3"/>
        <v>78.173333299999967</v>
      </c>
    </row>
    <row r="15" spans="1:15" x14ac:dyDescent="0.25">
      <c r="A15" s="1255">
        <v>2022</v>
      </c>
      <c r="B15" s="1262">
        <f t="shared" ref="B15:D22" si="5">B$13+(B$23-B$13)/($A$23-$A$13)*($A15-$A$13)</f>
        <v>-562.45333333333326</v>
      </c>
      <c r="C15" s="1277" t="s">
        <v>2595</v>
      </c>
      <c r="D15" s="1262">
        <f t="shared" si="5"/>
        <v>-389.38666666666666</v>
      </c>
      <c r="E15" s="1277" t="s">
        <v>2595</v>
      </c>
      <c r="H15" s="1286">
        <v>2022</v>
      </c>
      <c r="I15" s="1262">
        <f t="shared" si="0"/>
        <v>-486.71999999999991</v>
      </c>
      <c r="J15" s="1262">
        <f t="shared" si="1"/>
        <v>-328.32000000000005</v>
      </c>
      <c r="L15" s="1257"/>
      <c r="M15" s="1266">
        <f t="shared" si="2"/>
        <v>2022</v>
      </c>
      <c r="N15" s="1262">
        <f t="shared" si="3"/>
        <v>-70.986666699999944</v>
      </c>
      <c r="O15" s="1262">
        <f t="shared" si="3"/>
        <v>87.41333329999992</v>
      </c>
    </row>
    <row r="16" spans="1:15" x14ac:dyDescent="0.25">
      <c r="A16" s="1255">
        <v>2023</v>
      </c>
      <c r="B16" s="1262">
        <f t="shared" si="5"/>
        <v>-549.9133333333333</v>
      </c>
      <c r="C16" s="1277" t="s">
        <v>2595</v>
      </c>
      <c r="D16" s="1262">
        <f t="shared" si="5"/>
        <v>-380.14666666666665</v>
      </c>
      <c r="E16" s="1277" t="s">
        <v>2595</v>
      </c>
      <c r="H16" s="1286">
        <v>2023</v>
      </c>
      <c r="I16" s="1262">
        <f t="shared" si="0"/>
        <v>-474.17999999999995</v>
      </c>
      <c r="J16" s="1262">
        <f t="shared" si="1"/>
        <v>-319.08000000000004</v>
      </c>
      <c r="L16" s="1257"/>
      <c r="M16" s="1266">
        <f t="shared" si="2"/>
        <v>2023</v>
      </c>
      <c r="N16" s="1262">
        <f t="shared" si="3"/>
        <v>-58.44666669999998</v>
      </c>
      <c r="O16" s="1262">
        <f t="shared" si="3"/>
        <v>96.653333299999929</v>
      </c>
    </row>
    <row r="17" spans="1:15" x14ac:dyDescent="0.25">
      <c r="A17" s="1255">
        <v>2024</v>
      </c>
      <c r="B17" s="1262">
        <f t="shared" si="5"/>
        <v>-537.37333333333333</v>
      </c>
      <c r="C17" s="1277" t="s">
        <v>2595</v>
      </c>
      <c r="D17" s="1262">
        <f t="shared" si="5"/>
        <v>-370.90666666666664</v>
      </c>
      <c r="E17" s="1277" t="s">
        <v>2595</v>
      </c>
      <c r="H17" s="1286">
        <v>2024</v>
      </c>
      <c r="I17" s="1262">
        <f t="shared" si="0"/>
        <v>-461.64</v>
      </c>
      <c r="J17" s="1262">
        <f t="shared" si="1"/>
        <v>-309.84000000000003</v>
      </c>
      <c r="M17" s="1266">
        <f t="shared" si="2"/>
        <v>2024</v>
      </c>
      <c r="N17" s="1262">
        <f t="shared" si="3"/>
        <v>-45.906666700000017</v>
      </c>
      <c r="O17" s="1262">
        <f t="shared" si="3"/>
        <v>105.89333329999994</v>
      </c>
    </row>
    <row r="18" spans="1:15" x14ac:dyDescent="0.25">
      <c r="A18" s="1255">
        <v>2025</v>
      </c>
      <c r="B18" s="1262">
        <f t="shared" si="5"/>
        <v>-524.83333333333326</v>
      </c>
      <c r="C18" s="1277" t="s">
        <v>2595</v>
      </c>
      <c r="D18" s="1262">
        <f t="shared" si="5"/>
        <v>-361.66666666666663</v>
      </c>
      <c r="E18" s="1277" t="s">
        <v>2595</v>
      </c>
      <c r="H18" s="1286">
        <v>2025</v>
      </c>
      <c r="I18" s="1262">
        <f t="shared" si="0"/>
        <v>-449.09999999999991</v>
      </c>
      <c r="J18" s="1262">
        <f t="shared" si="1"/>
        <v>-300.60000000000002</v>
      </c>
      <c r="M18" s="1266">
        <f t="shared" si="2"/>
        <v>2025</v>
      </c>
      <c r="N18" s="1262">
        <f t="shared" si="3"/>
        <v>-33.366666699999939</v>
      </c>
      <c r="O18" s="1262">
        <f t="shared" si="3"/>
        <v>115.13333329999995</v>
      </c>
    </row>
    <row r="19" spans="1:15" x14ac:dyDescent="0.25">
      <c r="A19" s="1255">
        <v>2026</v>
      </c>
      <c r="B19" s="1262">
        <f t="shared" si="5"/>
        <v>-512.29333333333329</v>
      </c>
      <c r="C19" s="1277" t="s">
        <v>2595</v>
      </c>
      <c r="D19" s="1262">
        <f t="shared" si="5"/>
        <v>-352.42666666666668</v>
      </c>
      <c r="E19" s="1277" t="s">
        <v>2595</v>
      </c>
      <c r="H19" s="1286">
        <v>2026</v>
      </c>
      <c r="I19" s="1262">
        <f t="shared" si="0"/>
        <v>-436.55999999999995</v>
      </c>
      <c r="J19" s="1262">
        <f t="shared" si="1"/>
        <v>-291.36000000000007</v>
      </c>
      <c r="M19" s="1266">
        <f t="shared" si="2"/>
        <v>2026</v>
      </c>
      <c r="N19" s="1262">
        <f t="shared" si="3"/>
        <v>-20.826666699999976</v>
      </c>
      <c r="O19" s="1262">
        <f t="shared" si="3"/>
        <v>124.3733332999999</v>
      </c>
    </row>
    <row r="20" spans="1:15" x14ac:dyDescent="0.25">
      <c r="A20" s="1255">
        <v>2027</v>
      </c>
      <c r="B20" s="1262">
        <f t="shared" si="5"/>
        <v>-499.75333333333333</v>
      </c>
      <c r="C20" s="1277" t="s">
        <v>2595</v>
      </c>
      <c r="D20" s="1262">
        <f t="shared" si="5"/>
        <v>-343.18666666666667</v>
      </c>
      <c r="E20" s="1277" t="s">
        <v>2595</v>
      </c>
      <c r="H20" s="1286">
        <v>2027</v>
      </c>
      <c r="I20" s="1262">
        <f t="shared" si="0"/>
        <v>-424.02</v>
      </c>
      <c r="J20" s="1262">
        <f t="shared" si="1"/>
        <v>-282.12000000000006</v>
      </c>
      <c r="M20" s="1266">
        <f t="shared" si="2"/>
        <v>2027</v>
      </c>
      <c r="N20" s="1262">
        <f t="shared" si="3"/>
        <v>-8.286666700000012</v>
      </c>
      <c r="O20" s="1262">
        <f t="shared" si="3"/>
        <v>133.61333329999991</v>
      </c>
    </row>
    <row r="21" spans="1:15" x14ac:dyDescent="0.25">
      <c r="A21" s="1255">
        <v>2028</v>
      </c>
      <c r="B21" s="1262">
        <f t="shared" si="5"/>
        <v>-487.21333333333331</v>
      </c>
      <c r="C21" s="1277" t="s">
        <v>2595</v>
      </c>
      <c r="D21" s="1262">
        <f t="shared" si="5"/>
        <v>-333.94666666666672</v>
      </c>
      <c r="E21" s="1277" t="s">
        <v>2595</v>
      </c>
      <c r="H21" s="1286">
        <v>2028</v>
      </c>
      <c r="I21" s="1262">
        <f t="shared" si="0"/>
        <v>-411.47999999999996</v>
      </c>
      <c r="J21" s="1262">
        <f t="shared" si="1"/>
        <v>-272.88000000000011</v>
      </c>
      <c r="M21" s="1266">
        <f t="shared" si="2"/>
        <v>2028</v>
      </c>
      <c r="N21" s="1262">
        <f t="shared" si="3"/>
        <v>4.2533333000000084</v>
      </c>
      <c r="O21" s="1262">
        <f t="shared" si="3"/>
        <v>142.85333329999986</v>
      </c>
    </row>
    <row r="22" spans="1:15" x14ac:dyDescent="0.25">
      <c r="A22" s="1255">
        <v>2029</v>
      </c>
      <c r="B22" s="1262">
        <f t="shared" si="5"/>
        <v>-474.67333333333335</v>
      </c>
      <c r="C22" s="1277" t="s">
        <v>2595</v>
      </c>
      <c r="D22" s="1262">
        <f t="shared" si="5"/>
        <v>-324.70666666666671</v>
      </c>
      <c r="E22" s="1277" t="s">
        <v>2595</v>
      </c>
      <c r="H22" s="1286">
        <v>2029</v>
      </c>
      <c r="I22" s="1262">
        <f t="shared" si="0"/>
        <v>-398.94</v>
      </c>
      <c r="J22" s="1262">
        <f t="shared" si="1"/>
        <v>-263.6400000000001</v>
      </c>
      <c r="M22" s="1266">
        <f t="shared" si="2"/>
        <v>2029</v>
      </c>
      <c r="N22" s="1262">
        <f t="shared" si="3"/>
        <v>16.793333299999972</v>
      </c>
      <c r="O22" s="1262">
        <f t="shared" si="3"/>
        <v>152.09333329999987</v>
      </c>
    </row>
    <row r="23" spans="1:15" x14ac:dyDescent="0.25">
      <c r="A23" s="1255">
        <v>2030</v>
      </c>
      <c r="B23" s="1262">
        <v>-462.13333333333333</v>
      </c>
      <c r="C23" s="1267" t="s">
        <v>2608</v>
      </c>
      <c r="D23" s="1262">
        <v>-315.4666666666667</v>
      </c>
      <c r="E23" s="1267" t="s">
        <v>2608</v>
      </c>
      <c r="H23" s="1286">
        <v>2030</v>
      </c>
      <c r="I23" s="1262">
        <f t="shared" si="0"/>
        <v>-386.4</v>
      </c>
      <c r="J23" s="1262">
        <f t="shared" si="1"/>
        <v>-254.40000000000009</v>
      </c>
      <c r="M23" s="1266">
        <f t="shared" si="2"/>
        <v>2030</v>
      </c>
      <c r="N23" s="1262">
        <f t="shared" si="3"/>
        <v>29.333333299999993</v>
      </c>
      <c r="O23" s="1262">
        <f t="shared" si="3"/>
        <v>161.33333329999988</v>
      </c>
    </row>
    <row r="24" spans="1:15" x14ac:dyDescent="0.25">
      <c r="D24" s="1262"/>
    </row>
  </sheetData>
  <mergeCells count="2">
    <mergeCell ref="G1:J1"/>
    <mergeCell ref="L1:O1"/>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25"/>
  <sheetViews>
    <sheetView workbookViewId="0">
      <selection activeCell="B8" sqref="B8"/>
    </sheetView>
  </sheetViews>
  <sheetFormatPr defaultRowHeight="15" x14ac:dyDescent="0.25"/>
  <cols>
    <col min="1" max="16384" width="9.140625" style="534"/>
  </cols>
  <sheetData>
    <row r="1" spans="1:10" x14ac:dyDescent="0.25">
      <c r="A1" s="1254" t="s">
        <v>2586</v>
      </c>
      <c r="B1" s="1255"/>
      <c r="C1" s="1255"/>
      <c r="D1" s="1256"/>
      <c r="E1" s="1256"/>
      <c r="G1" s="1296" t="s">
        <v>2587</v>
      </c>
      <c r="H1" s="1296"/>
      <c r="I1" s="1296"/>
      <c r="J1" s="1296"/>
    </row>
    <row r="2" spans="1:10" x14ac:dyDescent="0.25">
      <c r="A2" s="1258" t="s">
        <v>2588</v>
      </c>
      <c r="B2" s="1259" t="s">
        <v>2589</v>
      </c>
      <c r="C2" s="1259" t="s">
        <v>2590</v>
      </c>
      <c r="D2" s="1259" t="s">
        <v>2591</v>
      </c>
      <c r="E2" s="1258" t="s">
        <v>2590</v>
      </c>
      <c r="G2" s="1261" t="s">
        <v>2592</v>
      </c>
      <c r="H2" s="1258" t="s">
        <v>2588</v>
      </c>
      <c r="I2" s="1258" t="str">
        <f>B2</f>
        <v xml:space="preserve">NoPolicy </v>
      </c>
      <c r="J2" s="1258" t="str">
        <f>D2</f>
        <v xml:space="preserve">NPi </v>
      </c>
    </row>
    <row r="3" spans="1:10" x14ac:dyDescent="0.25">
      <c r="A3" s="1255">
        <v>2010</v>
      </c>
      <c r="B3" s="1262">
        <v>-14.169</v>
      </c>
      <c r="C3" s="1263" t="s">
        <v>2430</v>
      </c>
      <c r="D3" s="1264">
        <f>B3</f>
        <v>-14.169</v>
      </c>
      <c r="E3" s="1263" t="str">
        <f>C3</f>
        <v>PBL</v>
      </c>
      <c r="G3" s="1265">
        <f>G5-B3</f>
        <v>14.169</v>
      </c>
      <c r="H3" s="1266">
        <f>A3</f>
        <v>2010</v>
      </c>
      <c r="I3" s="1262">
        <f>B3+$G$3</f>
        <v>0</v>
      </c>
      <c r="J3" s="1262">
        <f>D3+$G$3</f>
        <v>0</v>
      </c>
    </row>
    <row r="4" spans="1:10" x14ac:dyDescent="0.25">
      <c r="A4" s="1255">
        <v>2011</v>
      </c>
      <c r="B4" s="1267" t="s">
        <v>2594</v>
      </c>
      <c r="C4" s="1267" t="s">
        <v>2594</v>
      </c>
      <c r="D4" s="1264">
        <f>D$3+(D$13-D$3)/($A$13-$A$3)*($A4-$A$3)</f>
        <v>-14.1721</v>
      </c>
      <c r="E4" s="1277" t="s">
        <v>2595</v>
      </c>
      <c r="G4" s="1261" t="s">
        <v>2596</v>
      </c>
      <c r="H4" s="1266">
        <f t="shared" ref="H4:H23" si="0">A4</f>
        <v>2011</v>
      </c>
      <c r="I4" s="1267" t="s">
        <v>2594</v>
      </c>
      <c r="J4" s="1262">
        <f t="shared" ref="J4:J23" si="1">D4+$G$3</f>
        <v>-3.0999999999998806E-3</v>
      </c>
    </row>
    <row r="5" spans="1:10" x14ac:dyDescent="0.25">
      <c r="A5" s="1255">
        <v>2012</v>
      </c>
      <c r="B5" s="1267" t="s">
        <v>2594</v>
      </c>
      <c r="C5" s="1267" t="s">
        <v>2594</v>
      </c>
      <c r="D5" s="1264">
        <f t="shared" ref="D5:D12" si="2">D$3+(D$13-D$3)/($A$13-$A$3)*($A5-$A$3)</f>
        <v>-14.1752</v>
      </c>
      <c r="E5" s="1277" t="s">
        <v>2595</v>
      </c>
      <c r="G5" s="1269">
        <f>(0+0)/1000</f>
        <v>0</v>
      </c>
      <c r="H5" s="1266">
        <f t="shared" si="0"/>
        <v>2012</v>
      </c>
      <c r="I5" s="1267" t="s">
        <v>2594</v>
      </c>
      <c r="J5" s="1262">
        <f t="shared" si="1"/>
        <v>-6.1999999999997613E-3</v>
      </c>
    </row>
    <row r="6" spans="1:10" x14ac:dyDescent="0.25">
      <c r="A6" s="1255">
        <v>2013</v>
      </c>
      <c r="B6" s="1267" t="s">
        <v>2594</v>
      </c>
      <c r="C6" s="1267" t="s">
        <v>2594</v>
      </c>
      <c r="D6" s="1264">
        <f t="shared" si="2"/>
        <v>-14.1783</v>
      </c>
      <c r="E6" s="1277" t="s">
        <v>2595</v>
      </c>
      <c r="G6" s="13"/>
      <c r="H6" s="1266">
        <f t="shared" si="0"/>
        <v>2013</v>
      </c>
      <c r="I6" s="1267" t="s">
        <v>2594</v>
      </c>
      <c r="J6" s="1262">
        <f t="shared" si="1"/>
        <v>-9.2999999999996419E-3</v>
      </c>
    </row>
    <row r="7" spans="1:10" x14ac:dyDescent="0.25">
      <c r="A7" s="1255">
        <v>2014</v>
      </c>
      <c r="B7" s="1267" t="s">
        <v>2594</v>
      </c>
      <c r="C7" s="1267" t="s">
        <v>2594</v>
      </c>
      <c r="D7" s="1264">
        <f t="shared" si="2"/>
        <v>-14.1814</v>
      </c>
      <c r="E7" s="1277" t="s">
        <v>2595</v>
      </c>
      <c r="G7" s="13"/>
      <c r="H7" s="1266">
        <f t="shared" si="0"/>
        <v>2014</v>
      </c>
      <c r="I7" s="1267" t="s">
        <v>2594</v>
      </c>
      <c r="J7" s="1262">
        <f t="shared" si="1"/>
        <v>-1.2399999999999523E-2</v>
      </c>
    </row>
    <row r="8" spans="1:10" x14ac:dyDescent="0.25">
      <c r="A8" s="1255">
        <v>2015</v>
      </c>
      <c r="B8" s="1267" t="s">
        <v>2594</v>
      </c>
      <c r="C8" s="1267" t="s">
        <v>2594</v>
      </c>
      <c r="D8" s="1264">
        <f t="shared" si="2"/>
        <v>-14.1845</v>
      </c>
      <c r="E8" s="1277" t="s">
        <v>2595</v>
      </c>
      <c r="G8" s="13"/>
      <c r="H8" s="1266">
        <f t="shared" si="0"/>
        <v>2015</v>
      </c>
      <c r="I8" s="1267" t="s">
        <v>2594</v>
      </c>
      <c r="J8" s="1262">
        <f t="shared" si="1"/>
        <v>-1.5499999999999403E-2</v>
      </c>
    </row>
    <row r="9" spans="1:10" x14ac:dyDescent="0.25">
      <c r="A9" s="1255">
        <v>2016</v>
      </c>
      <c r="B9" s="1267" t="s">
        <v>2594</v>
      </c>
      <c r="C9" s="1267" t="s">
        <v>2594</v>
      </c>
      <c r="D9" s="1264">
        <f t="shared" si="2"/>
        <v>-14.1876</v>
      </c>
      <c r="E9" s="1277" t="s">
        <v>2595</v>
      </c>
      <c r="G9" s="13"/>
      <c r="H9" s="1266">
        <f t="shared" si="0"/>
        <v>2016</v>
      </c>
      <c r="I9" s="1267" t="s">
        <v>2594</v>
      </c>
      <c r="J9" s="1262">
        <f t="shared" si="1"/>
        <v>-1.8599999999999284E-2</v>
      </c>
    </row>
    <row r="10" spans="1:10" x14ac:dyDescent="0.25">
      <c r="A10" s="1255">
        <v>2017</v>
      </c>
      <c r="B10" s="1267" t="s">
        <v>2594</v>
      </c>
      <c r="C10" s="1267" t="s">
        <v>2594</v>
      </c>
      <c r="D10" s="1264">
        <f t="shared" si="2"/>
        <v>-14.1907</v>
      </c>
      <c r="E10" s="1277" t="s">
        <v>2595</v>
      </c>
      <c r="G10" s="13"/>
      <c r="H10" s="1266">
        <f t="shared" si="0"/>
        <v>2017</v>
      </c>
      <c r="I10" s="1267" t="s">
        <v>2594</v>
      </c>
      <c r="J10" s="1262">
        <f t="shared" si="1"/>
        <v>-2.1699999999999164E-2</v>
      </c>
    </row>
    <row r="11" spans="1:10" x14ac:dyDescent="0.25">
      <c r="A11" s="1255">
        <v>2018</v>
      </c>
      <c r="B11" s="1267" t="s">
        <v>2594</v>
      </c>
      <c r="C11" s="1267" t="s">
        <v>2594</v>
      </c>
      <c r="D11" s="1264">
        <f t="shared" si="2"/>
        <v>-14.1938</v>
      </c>
      <c r="E11" s="1277" t="s">
        <v>2595</v>
      </c>
      <c r="G11" s="13"/>
      <c r="H11" s="1266">
        <f t="shared" si="0"/>
        <v>2018</v>
      </c>
      <c r="I11" s="1267" t="s">
        <v>2594</v>
      </c>
      <c r="J11" s="1262">
        <f t="shared" si="1"/>
        <v>-2.4799999999999045E-2</v>
      </c>
    </row>
    <row r="12" spans="1:10" x14ac:dyDescent="0.25">
      <c r="A12" s="1255">
        <v>2019</v>
      </c>
      <c r="B12" s="1267" t="s">
        <v>2594</v>
      </c>
      <c r="C12" s="1267" t="s">
        <v>2594</v>
      </c>
      <c r="D12" s="1264">
        <f t="shared" si="2"/>
        <v>-14.196899999999999</v>
      </c>
      <c r="E12" s="1277" t="s">
        <v>2595</v>
      </c>
      <c r="G12" s="13"/>
      <c r="H12" s="1266">
        <f t="shared" si="0"/>
        <v>2019</v>
      </c>
      <c r="I12" s="1267" t="s">
        <v>2594</v>
      </c>
      <c r="J12" s="1262">
        <f t="shared" si="1"/>
        <v>-2.7899999999998926E-2</v>
      </c>
    </row>
    <row r="13" spans="1:10" x14ac:dyDescent="0.25">
      <c r="A13" s="1255">
        <v>2020</v>
      </c>
      <c r="B13" s="1267" t="s">
        <v>2594</v>
      </c>
      <c r="C13" s="1267" t="s">
        <v>2594</v>
      </c>
      <c r="D13" s="1264">
        <v>-14.2</v>
      </c>
      <c r="E13" s="1263" t="s">
        <v>2430</v>
      </c>
      <c r="G13" s="13"/>
      <c r="H13" s="1266">
        <f t="shared" si="0"/>
        <v>2020</v>
      </c>
      <c r="I13" s="1267" t="s">
        <v>2594</v>
      </c>
      <c r="J13" s="1262">
        <f t="shared" si="1"/>
        <v>-3.0999999999998806E-2</v>
      </c>
    </row>
    <row r="14" spans="1:10" x14ac:dyDescent="0.25">
      <c r="A14" s="1255">
        <v>2021</v>
      </c>
      <c r="B14" s="1267" t="s">
        <v>2594</v>
      </c>
      <c r="C14" s="1267" t="s">
        <v>2594</v>
      </c>
      <c r="D14" s="1264">
        <f>D$3+(D$13-D$3)/($A$13-$A$3)*($A14-$A$3)</f>
        <v>-14.203099999999999</v>
      </c>
      <c r="E14" s="1277" t="s">
        <v>2595</v>
      </c>
      <c r="G14" s="1257"/>
      <c r="H14" s="1266">
        <f t="shared" si="0"/>
        <v>2021</v>
      </c>
      <c r="I14" s="1267" t="s">
        <v>2594</v>
      </c>
      <c r="J14" s="1262">
        <f>D14+$G$3</f>
        <v>-3.4099999999998687E-2</v>
      </c>
    </row>
    <row r="15" spans="1:10" x14ac:dyDescent="0.25">
      <c r="A15" s="1255">
        <v>2022</v>
      </c>
      <c r="B15" s="1267" t="s">
        <v>2594</v>
      </c>
      <c r="C15" s="1267" t="s">
        <v>2594</v>
      </c>
      <c r="D15" s="1264">
        <f t="shared" ref="D15:D22" si="3">D$3+(D$13-D$3)/($A$13-$A$3)*($A15-$A$3)</f>
        <v>-14.206199999999999</v>
      </c>
      <c r="E15" s="1277" t="s">
        <v>2595</v>
      </c>
      <c r="G15" s="1257"/>
      <c r="H15" s="1266">
        <f t="shared" si="0"/>
        <v>2022</v>
      </c>
      <c r="I15" s="1267" t="s">
        <v>2594</v>
      </c>
      <c r="J15" s="1262">
        <f t="shared" si="1"/>
        <v>-3.7199999999998568E-2</v>
      </c>
    </row>
    <row r="16" spans="1:10" x14ac:dyDescent="0.25">
      <c r="A16" s="1255">
        <v>2023</v>
      </c>
      <c r="B16" s="1267" t="s">
        <v>2594</v>
      </c>
      <c r="C16" s="1267" t="s">
        <v>2594</v>
      </c>
      <c r="D16" s="1264">
        <f t="shared" si="3"/>
        <v>-14.209299999999999</v>
      </c>
      <c r="E16" s="1277" t="s">
        <v>2595</v>
      </c>
      <c r="G16" s="1257"/>
      <c r="H16" s="1266">
        <f t="shared" si="0"/>
        <v>2023</v>
      </c>
      <c r="I16" s="1267" t="s">
        <v>2594</v>
      </c>
      <c r="J16" s="1262">
        <f t="shared" si="1"/>
        <v>-4.0299999999998448E-2</v>
      </c>
    </row>
    <row r="17" spans="1:10" x14ac:dyDescent="0.25">
      <c r="A17" s="1255">
        <v>2024</v>
      </c>
      <c r="B17" s="1267" t="s">
        <v>2594</v>
      </c>
      <c r="C17" s="1267" t="s">
        <v>2594</v>
      </c>
      <c r="D17" s="1264">
        <f t="shared" si="3"/>
        <v>-14.212399999999999</v>
      </c>
      <c r="E17" s="1277" t="s">
        <v>2595</v>
      </c>
      <c r="H17" s="1266">
        <f t="shared" si="0"/>
        <v>2024</v>
      </c>
      <c r="I17" s="1267" t="s">
        <v>2594</v>
      </c>
      <c r="J17" s="1262">
        <f t="shared" si="1"/>
        <v>-4.3399999999998329E-2</v>
      </c>
    </row>
    <row r="18" spans="1:10" x14ac:dyDescent="0.25">
      <c r="A18" s="1255">
        <v>2025</v>
      </c>
      <c r="B18" s="1267" t="s">
        <v>2594</v>
      </c>
      <c r="C18" s="1267" t="s">
        <v>2594</v>
      </c>
      <c r="D18" s="1264">
        <f t="shared" si="3"/>
        <v>-14.215499999999999</v>
      </c>
      <c r="E18" s="1277" t="s">
        <v>2595</v>
      </c>
      <c r="H18" s="1266">
        <f t="shared" si="0"/>
        <v>2025</v>
      </c>
      <c r="I18" s="1267" t="s">
        <v>2594</v>
      </c>
      <c r="J18" s="1262">
        <f t="shared" si="1"/>
        <v>-4.6499999999998209E-2</v>
      </c>
    </row>
    <row r="19" spans="1:10" x14ac:dyDescent="0.25">
      <c r="A19" s="1255">
        <v>2026</v>
      </c>
      <c r="B19" s="1267" t="s">
        <v>2594</v>
      </c>
      <c r="C19" s="1267" t="s">
        <v>2594</v>
      </c>
      <c r="D19" s="1264">
        <f t="shared" si="3"/>
        <v>-14.218599999999999</v>
      </c>
      <c r="E19" s="1277" t="s">
        <v>2595</v>
      </c>
      <c r="H19" s="1266">
        <f t="shared" si="0"/>
        <v>2026</v>
      </c>
      <c r="I19" s="1267" t="s">
        <v>2594</v>
      </c>
      <c r="J19" s="1262">
        <f t="shared" si="1"/>
        <v>-4.959999999999809E-2</v>
      </c>
    </row>
    <row r="20" spans="1:10" x14ac:dyDescent="0.25">
      <c r="A20" s="1255">
        <v>2027</v>
      </c>
      <c r="B20" s="1267" t="s">
        <v>2594</v>
      </c>
      <c r="C20" s="1267" t="s">
        <v>2594</v>
      </c>
      <c r="D20" s="1264">
        <f t="shared" si="3"/>
        <v>-14.221699999999998</v>
      </c>
      <c r="E20" s="1277" t="s">
        <v>2595</v>
      </c>
      <c r="H20" s="1266">
        <f t="shared" si="0"/>
        <v>2027</v>
      </c>
      <c r="I20" s="1267" t="s">
        <v>2594</v>
      </c>
      <c r="J20" s="1262">
        <f t="shared" si="1"/>
        <v>-5.2699999999997971E-2</v>
      </c>
    </row>
    <row r="21" spans="1:10" x14ac:dyDescent="0.25">
      <c r="A21" s="1255">
        <v>2028</v>
      </c>
      <c r="B21" s="1267" t="s">
        <v>2594</v>
      </c>
      <c r="C21" s="1267" t="s">
        <v>2594</v>
      </c>
      <c r="D21" s="1264">
        <f t="shared" si="3"/>
        <v>-14.224799999999998</v>
      </c>
      <c r="E21" s="1277" t="s">
        <v>2595</v>
      </c>
      <c r="H21" s="1266">
        <f t="shared" si="0"/>
        <v>2028</v>
      </c>
      <c r="I21" s="1267" t="s">
        <v>2594</v>
      </c>
      <c r="J21" s="1262">
        <f t="shared" si="1"/>
        <v>-5.5799999999997851E-2</v>
      </c>
    </row>
    <row r="22" spans="1:10" x14ac:dyDescent="0.25">
      <c r="A22" s="1255">
        <v>2029</v>
      </c>
      <c r="B22" s="1267" t="s">
        <v>2594</v>
      </c>
      <c r="C22" s="1267" t="s">
        <v>2594</v>
      </c>
      <c r="D22" s="1264">
        <f t="shared" si="3"/>
        <v>-14.227899999999998</v>
      </c>
      <c r="E22" s="1277" t="s">
        <v>2595</v>
      </c>
      <c r="H22" s="1266">
        <f t="shared" si="0"/>
        <v>2029</v>
      </c>
      <c r="I22" s="1267" t="s">
        <v>2594</v>
      </c>
      <c r="J22" s="1262">
        <f t="shared" si="1"/>
        <v>-5.8899999999997732E-2</v>
      </c>
    </row>
    <row r="23" spans="1:10" x14ac:dyDescent="0.25">
      <c r="A23" s="1255">
        <v>2030</v>
      </c>
      <c r="B23" s="1267" t="s">
        <v>2594</v>
      </c>
      <c r="C23" s="1267" t="s">
        <v>2594</v>
      </c>
      <c r="D23" s="1264">
        <v>-14.2</v>
      </c>
      <c r="E23" s="1268" t="s">
        <v>2430</v>
      </c>
      <c r="H23" s="1266">
        <f t="shared" si="0"/>
        <v>2030</v>
      </c>
      <c r="I23" s="1267" t="s">
        <v>2594</v>
      </c>
      <c r="J23" s="1262">
        <f t="shared" si="1"/>
        <v>-3.0999999999998806E-2</v>
      </c>
    </row>
    <row r="25" spans="1:10" x14ac:dyDescent="0.25">
      <c r="A25" s="1272" t="s">
        <v>2597</v>
      </c>
    </row>
  </sheetData>
  <mergeCells count="1">
    <mergeCell ref="G1:J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1"/>
  <sheetViews>
    <sheetView workbookViewId="0">
      <selection activeCell="B19" sqref="B19"/>
    </sheetView>
  </sheetViews>
  <sheetFormatPr defaultRowHeight="15" x14ac:dyDescent="0.25"/>
  <cols>
    <col min="1" max="1" width="23.5703125" style="534" customWidth="1"/>
    <col min="2" max="2" width="23.42578125" bestFit="1" customWidth="1"/>
    <col min="3" max="3" width="92.28515625" bestFit="1" customWidth="1"/>
    <col min="4" max="4" width="16.7109375" bestFit="1" customWidth="1"/>
  </cols>
  <sheetData>
    <row r="1" spans="1:4" s="534" customFormat="1" x14ac:dyDescent="0.25">
      <c r="A1" s="1086" t="s">
        <v>2432</v>
      </c>
      <c r="B1" s="534" t="s">
        <v>2427</v>
      </c>
      <c r="C1" s="534" t="s">
        <v>2428</v>
      </c>
    </row>
    <row r="2" spans="1:4" s="534" customFormat="1" x14ac:dyDescent="0.25">
      <c r="B2" s="534" t="s">
        <v>2429</v>
      </c>
      <c r="C2" s="534" t="s">
        <v>2430</v>
      </c>
    </row>
    <row r="3" spans="1:4" s="534" customFormat="1" x14ac:dyDescent="0.25">
      <c r="B3" s="534" t="s">
        <v>2431</v>
      </c>
      <c r="C3" s="534" t="s">
        <v>2430</v>
      </c>
    </row>
    <row r="4" spans="1:4" s="534" customFormat="1" x14ac:dyDescent="0.25">
      <c r="B4" s="534" t="s">
        <v>2445</v>
      </c>
      <c r="C4" s="534" t="s">
        <v>2428</v>
      </c>
    </row>
    <row r="5" spans="1:4" s="534" customFormat="1" x14ac:dyDescent="0.25">
      <c r="B5" s="534" t="s">
        <v>2444</v>
      </c>
      <c r="C5" s="534" t="s">
        <v>2430</v>
      </c>
    </row>
    <row r="6" spans="1:4" x14ac:dyDescent="0.25">
      <c r="A6" s="1086" t="s">
        <v>2426</v>
      </c>
      <c r="B6" s="534" t="s">
        <v>2436</v>
      </c>
      <c r="C6" s="534" t="s">
        <v>2435</v>
      </c>
      <c r="D6" s="534" t="s">
        <v>11</v>
      </c>
    </row>
    <row r="7" spans="1:4" s="534" customFormat="1" x14ac:dyDescent="0.25">
      <c r="A7" s="1086"/>
      <c r="B7" s="534" t="s">
        <v>2624</v>
      </c>
      <c r="C7" s="534" t="s">
        <v>2435</v>
      </c>
      <c r="D7" s="534" t="s">
        <v>11</v>
      </c>
    </row>
    <row r="8" spans="1:4" x14ac:dyDescent="0.25">
      <c r="B8" s="534" t="s">
        <v>2420</v>
      </c>
      <c r="C8" s="534" t="s">
        <v>2419</v>
      </c>
      <c r="D8" s="534" t="s">
        <v>11</v>
      </c>
    </row>
    <row r="9" spans="1:4" x14ac:dyDescent="0.25">
      <c r="B9" s="534" t="s">
        <v>2403</v>
      </c>
      <c r="C9" s="534" t="s">
        <v>2406</v>
      </c>
      <c r="D9" s="534" t="s">
        <v>15</v>
      </c>
    </row>
    <row r="10" spans="1:4" x14ac:dyDescent="0.25">
      <c r="B10" s="534" t="s">
        <v>2402</v>
      </c>
      <c r="C10" s="534" t="s">
        <v>2406</v>
      </c>
      <c r="D10" s="534" t="s">
        <v>2625</v>
      </c>
    </row>
    <row r="11" spans="1:4" x14ac:dyDescent="0.25">
      <c r="B11" s="534" t="s">
        <v>2405</v>
      </c>
      <c r="C11" s="534" t="s">
        <v>2406</v>
      </c>
      <c r="D11" s="534" t="s">
        <v>2625</v>
      </c>
    </row>
    <row r="12" spans="1:4" x14ac:dyDescent="0.25">
      <c r="B12" s="534" t="s">
        <v>2404</v>
      </c>
      <c r="C12" s="534" t="s">
        <v>2406</v>
      </c>
      <c r="D12" s="534" t="s">
        <v>2626</v>
      </c>
    </row>
    <row r="13" spans="1:4" x14ac:dyDescent="0.25">
      <c r="B13" s="534" t="s">
        <v>2623</v>
      </c>
      <c r="C13" s="534" t="s">
        <v>2425</v>
      </c>
      <c r="D13" s="534" t="s">
        <v>15</v>
      </c>
    </row>
    <row r="14" spans="1:4" x14ac:dyDescent="0.25">
      <c r="B14" s="534" t="s">
        <v>2410</v>
      </c>
      <c r="C14" s="534" t="s">
        <v>2407</v>
      </c>
      <c r="D14" s="534" t="s">
        <v>4</v>
      </c>
    </row>
    <row r="15" spans="1:4" x14ac:dyDescent="0.25">
      <c r="B15" s="534" t="s">
        <v>2409</v>
      </c>
      <c r="C15" s="534" t="s">
        <v>2408</v>
      </c>
      <c r="D15" s="534" t="s">
        <v>6</v>
      </c>
    </row>
    <row r="16" spans="1:4" x14ac:dyDescent="0.25">
      <c r="B16" s="534" t="s">
        <v>2437</v>
      </c>
      <c r="C16" s="534" t="s">
        <v>2412</v>
      </c>
      <c r="D16" s="534" t="s">
        <v>10</v>
      </c>
    </row>
    <row r="17" spans="2:4" x14ac:dyDescent="0.25">
      <c r="B17" s="534" t="s">
        <v>2411</v>
      </c>
      <c r="C17" s="534" t="s">
        <v>2412</v>
      </c>
      <c r="D17" s="534" t="s">
        <v>10</v>
      </c>
    </row>
    <row r="18" spans="2:4" x14ac:dyDescent="0.25">
      <c r="B18" s="534" t="s">
        <v>2414</v>
      </c>
      <c r="C18" s="534" t="s">
        <v>2413</v>
      </c>
      <c r="D18" s="534" t="s">
        <v>14</v>
      </c>
    </row>
    <row r="19" spans="2:4" x14ac:dyDescent="0.25">
      <c r="B19" s="534" t="s">
        <v>2415</v>
      </c>
      <c r="C19" s="534" t="s">
        <v>2627</v>
      </c>
      <c r="D19" s="534" t="s">
        <v>14</v>
      </c>
    </row>
    <row r="20" spans="2:4" x14ac:dyDescent="0.25">
      <c r="B20" s="534" t="s">
        <v>2443</v>
      </c>
      <c r="C20" s="534" t="s">
        <v>2628</v>
      </c>
      <c r="D20" s="534" t="s">
        <v>14</v>
      </c>
    </row>
    <row r="21" spans="2:4" x14ac:dyDescent="0.25">
      <c r="B21" s="534" t="s">
        <v>2417</v>
      </c>
      <c r="C21" s="534" t="s">
        <v>2418</v>
      </c>
      <c r="D21" s="534" t="s">
        <v>4</v>
      </c>
    </row>
    <row r="22" spans="2:4" x14ac:dyDescent="0.25">
      <c r="B22" s="534" t="s">
        <v>2416</v>
      </c>
      <c r="C22" s="534" t="s">
        <v>2418</v>
      </c>
      <c r="D22" s="534" t="s">
        <v>4</v>
      </c>
    </row>
    <row r="23" spans="2:4" x14ac:dyDescent="0.25">
      <c r="B23" s="534" t="s">
        <v>2434</v>
      </c>
      <c r="C23" s="534" t="s">
        <v>2433</v>
      </c>
      <c r="D23" s="534" t="s">
        <v>18</v>
      </c>
    </row>
    <row r="24" spans="2:4" x14ac:dyDescent="0.25">
      <c r="B24" s="534" t="s">
        <v>2424</v>
      </c>
      <c r="C24" s="534" t="s">
        <v>2423</v>
      </c>
      <c r="D24" s="534" t="s">
        <v>19</v>
      </c>
    </row>
    <row r="25" spans="2:4" x14ac:dyDescent="0.25">
      <c r="B25" s="534" t="s">
        <v>2422</v>
      </c>
      <c r="C25" s="534" t="s">
        <v>2423</v>
      </c>
      <c r="D25" s="534" t="s">
        <v>19</v>
      </c>
    </row>
    <row r="26" spans="2:4" x14ac:dyDescent="0.25">
      <c r="B26" s="534" t="s">
        <v>2438</v>
      </c>
      <c r="C26" s="534"/>
      <c r="D26" s="534" t="s">
        <v>15</v>
      </c>
    </row>
    <row r="27" spans="2:4" x14ac:dyDescent="0.25">
      <c r="B27" s="534" t="s">
        <v>2629</v>
      </c>
      <c r="C27" s="534" t="s">
        <v>2630</v>
      </c>
      <c r="D27" s="534" t="s">
        <v>16</v>
      </c>
    </row>
    <row r="28" spans="2:4" x14ac:dyDescent="0.25">
      <c r="B28" s="534" t="s">
        <v>2421</v>
      </c>
      <c r="C28" s="534" t="s">
        <v>2630</v>
      </c>
      <c r="D28" s="534" t="s">
        <v>16</v>
      </c>
    </row>
    <row r="29" spans="2:4" x14ac:dyDescent="0.25">
      <c r="B29" s="534" t="s">
        <v>2439</v>
      </c>
      <c r="C29" s="534" t="s">
        <v>2631</v>
      </c>
      <c r="D29" s="534" t="s">
        <v>0</v>
      </c>
    </row>
    <row r="30" spans="2:4" x14ac:dyDescent="0.25">
      <c r="B30" s="534" t="s">
        <v>2440</v>
      </c>
      <c r="C30" s="534" t="s">
        <v>2632</v>
      </c>
      <c r="D30" s="534" t="s">
        <v>13</v>
      </c>
    </row>
    <row r="31" spans="2:4" x14ac:dyDescent="0.25">
      <c r="B31" s="534" t="s">
        <v>2441</v>
      </c>
      <c r="C31" s="534" t="s">
        <v>2442</v>
      </c>
      <c r="D31" s="534" t="s">
        <v>22</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25"/>
  <sheetViews>
    <sheetView workbookViewId="0">
      <selection activeCell="B8" sqref="B8"/>
    </sheetView>
  </sheetViews>
  <sheetFormatPr defaultRowHeight="15" x14ac:dyDescent="0.25"/>
  <cols>
    <col min="1" max="16384" width="9.140625" style="534"/>
  </cols>
  <sheetData>
    <row r="1" spans="1:10" x14ac:dyDescent="0.25">
      <c r="A1" s="1254" t="s">
        <v>2586</v>
      </c>
      <c r="B1" s="1255"/>
      <c r="C1" s="1255"/>
      <c r="D1" s="1256"/>
      <c r="E1" s="1256"/>
      <c r="G1" s="1296" t="s">
        <v>2587</v>
      </c>
      <c r="H1" s="1296"/>
      <c r="I1" s="1296"/>
      <c r="J1" s="1296"/>
    </row>
    <row r="2" spans="1:10" x14ac:dyDescent="0.25">
      <c r="A2" s="1258" t="s">
        <v>2588</v>
      </c>
      <c r="B2" s="1259" t="s">
        <v>2589</v>
      </c>
      <c r="C2" s="1259" t="s">
        <v>2590</v>
      </c>
      <c r="D2" s="1259" t="s">
        <v>2591</v>
      </c>
      <c r="E2" s="1258" t="s">
        <v>2590</v>
      </c>
      <c r="G2" s="1261" t="s">
        <v>2592</v>
      </c>
      <c r="H2" s="1258" t="s">
        <v>2588</v>
      </c>
      <c r="I2" s="1258" t="str">
        <f>B2</f>
        <v xml:space="preserve">NoPolicy </v>
      </c>
      <c r="J2" s="1258" t="str">
        <f>D2</f>
        <v xml:space="preserve">NPi </v>
      </c>
    </row>
    <row r="3" spans="1:10" x14ac:dyDescent="0.25">
      <c r="A3" s="1255">
        <v>2010</v>
      </c>
      <c r="B3" s="1262">
        <v>-18.899999999999999</v>
      </c>
      <c r="C3" s="1263" t="s">
        <v>1376</v>
      </c>
      <c r="D3" s="1264">
        <f>B3</f>
        <v>-18.899999999999999</v>
      </c>
      <c r="E3" s="1263" t="s">
        <v>1376</v>
      </c>
      <c r="G3" s="1265">
        <f>G5-B3</f>
        <v>18.899999999999999</v>
      </c>
      <c r="H3" s="1266">
        <f>A3</f>
        <v>2010</v>
      </c>
      <c r="I3" s="1262">
        <f>B3+$G$3</f>
        <v>0</v>
      </c>
      <c r="J3" s="1262">
        <f>D3+$G$3</f>
        <v>0</v>
      </c>
    </row>
    <row r="4" spans="1:10" x14ac:dyDescent="0.25">
      <c r="A4" s="1255">
        <v>2011</v>
      </c>
      <c r="B4" s="1267" t="s">
        <v>2594</v>
      </c>
      <c r="C4" s="1267" t="s">
        <v>2594</v>
      </c>
      <c r="D4" s="1264">
        <f>D$3+(D$13-D$3)/($A$13-$A$3)*($A4-$A$3)</f>
        <v>-19.09</v>
      </c>
      <c r="E4" s="1268" t="s">
        <v>2595</v>
      </c>
      <c r="G4" s="1261" t="s">
        <v>2596</v>
      </c>
      <c r="H4" s="1266">
        <f t="shared" ref="H4:H23" si="0">A4</f>
        <v>2011</v>
      </c>
      <c r="I4" s="1267" t="s">
        <v>2594</v>
      </c>
      <c r="J4" s="1262">
        <f t="shared" ref="J4:J23" si="1">D4+$G$3</f>
        <v>-0.19000000000000128</v>
      </c>
    </row>
    <row r="5" spans="1:10" x14ac:dyDescent="0.25">
      <c r="A5" s="1255">
        <v>2012</v>
      </c>
      <c r="B5" s="1267" t="s">
        <v>2594</v>
      </c>
      <c r="C5" s="1267" t="s">
        <v>2594</v>
      </c>
      <c r="D5" s="1264">
        <f t="shared" ref="D5:D12" si="2">D$3+(D$13-D$3)/($A$13-$A$3)*($A5-$A$3)</f>
        <v>-19.279999999999998</v>
      </c>
      <c r="E5" s="1268" t="s">
        <v>2595</v>
      </c>
      <c r="G5" s="1269">
        <f>(-832.4258+832.4258)/1000</f>
        <v>0</v>
      </c>
      <c r="H5" s="1266">
        <f t="shared" si="0"/>
        <v>2012</v>
      </c>
      <c r="I5" s="1267" t="s">
        <v>2594</v>
      </c>
      <c r="J5" s="1262">
        <f t="shared" si="1"/>
        <v>-0.37999999999999901</v>
      </c>
    </row>
    <row r="6" spans="1:10" x14ac:dyDescent="0.25">
      <c r="A6" s="1255">
        <v>2013</v>
      </c>
      <c r="B6" s="1267" t="s">
        <v>2594</v>
      </c>
      <c r="C6" s="1267" t="s">
        <v>2594</v>
      </c>
      <c r="D6" s="1264">
        <f t="shared" si="2"/>
        <v>-19.47</v>
      </c>
      <c r="E6" s="1268" t="s">
        <v>2595</v>
      </c>
      <c r="G6" s="13"/>
      <c r="H6" s="1266">
        <f t="shared" si="0"/>
        <v>2013</v>
      </c>
      <c r="I6" s="1267" t="s">
        <v>2594</v>
      </c>
      <c r="J6" s="1262">
        <f t="shared" si="1"/>
        <v>-0.57000000000000028</v>
      </c>
    </row>
    <row r="7" spans="1:10" x14ac:dyDescent="0.25">
      <c r="A7" s="1255">
        <v>2014</v>
      </c>
      <c r="B7" s="1267" t="s">
        <v>2594</v>
      </c>
      <c r="C7" s="1267" t="s">
        <v>2594</v>
      </c>
      <c r="D7" s="1264">
        <f t="shared" si="2"/>
        <v>-19.66</v>
      </c>
      <c r="E7" s="1268" t="s">
        <v>2595</v>
      </c>
      <c r="G7" s="13"/>
      <c r="H7" s="1266">
        <f t="shared" si="0"/>
        <v>2014</v>
      </c>
      <c r="I7" s="1267" t="s">
        <v>2594</v>
      </c>
      <c r="J7" s="1262">
        <f t="shared" si="1"/>
        <v>-0.76000000000000156</v>
      </c>
    </row>
    <row r="8" spans="1:10" x14ac:dyDescent="0.25">
      <c r="A8" s="1255">
        <v>2015</v>
      </c>
      <c r="B8" s="1267" t="s">
        <v>2594</v>
      </c>
      <c r="C8" s="1267" t="s">
        <v>2594</v>
      </c>
      <c r="D8" s="1264">
        <f t="shared" si="2"/>
        <v>-19.850000000000001</v>
      </c>
      <c r="E8" s="1268" t="s">
        <v>2595</v>
      </c>
      <c r="G8" s="13"/>
      <c r="H8" s="1266">
        <f t="shared" si="0"/>
        <v>2015</v>
      </c>
      <c r="I8" s="1267" t="s">
        <v>2594</v>
      </c>
      <c r="J8" s="1262">
        <f t="shared" si="1"/>
        <v>-0.95000000000000284</v>
      </c>
    </row>
    <row r="9" spans="1:10" x14ac:dyDescent="0.25">
      <c r="A9" s="1255">
        <v>2016</v>
      </c>
      <c r="B9" s="1267" t="s">
        <v>2594</v>
      </c>
      <c r="C9" s="1267" t="s">
        <v>2594</v>
      </c>
      <c r="D9" s="1264">
        <f t="shared" si="2"/>
        <v>-20.04</v>
      </c>
      <c r="E9" s="1268" t="s">
        <v>2595</v>
      </c>
      <c r="G9" s="13"/>
      <c r="H9" s="1266">
        <f t="shared" si="0"/>
        <v>2016</v>
      </c>
      <c r="I9" s="1267" t="s">
        <v>2594</v>
      </c>
      <c r="J9" s="1262">
        <f t="shared" si="1"/>
        <v>-1.1400000000000006</v>
      </c>
    </row>
    <row r="10" spans="1:10" x14ac:dyDescent="0.25">
      <c r="A10" s="1255">
        <v>2017</v>
      </c>
      <c r="B10" s="1267" t="s">
        <v>2594</v>
      </c>
      <c r="C10" s="1267" t="s">
        <v>2594</v>
      </c>
      <c r="D10" s="1264">
        <f t="shared" si="2"/>
        <v>-20.23</v>
      </c>
      <c r="E10" s="1268" t="s">
        <v>2595</v>
      </c>
      <c r="G10" s="13"/>
      <c r="H10" s="1266">
        <f t="shared" si="0"/>
        <v>2017</v>
      </c>
      <c r="I10" s="1267" t="s">
        <v>2594</v>
      </c>
      <c r="J10" s="1262">
        <f t="shared" si="1"/>
        <v>-1.3300000000000018</v>
      </c>
    </row>
    <row r="11" spans="1:10" x14ac:dyDescent="0.25">
      <c r="A11" s="1255">
        <v>2018</v>
      </c>
      <c r="B11" s="1267" t="s">
        <v>2594</v>
      </c>
      <c r="C11" s="1267" t="s">
        <v>2594</v>
      </c>
      <c r="D11" s="1264">
        <f t="shared" si="2"/>
        <v>-20.420000000000002</v>
      </c>
      <c r="E11" s="1268" t="s">
        <v>2595</v>
      </c>
      <c r="G11" s="13"/>
      <c r="H11" s="1266">
        <f t="shared" si="0"/>
        <v>2018</v>
      </c>
      <c r="I11" s="1267" t="s">
        <v>2594</v>
      </c>
      <c r="J11" s="1262">
        <f t="shared" si="1"/>
        <v>-1.5200000000000031</v>
      </c>
    </row>
    <row r="12" spans="1:10" x14ac:dyDescent="0.25">
      <c r="A12" s="1255">
        <v>2019</v>
      </c>
      <c r="B12" s="1267" t="s">
        <v>2594</v>
      </c>
      <c r="C12" s="1267" t="s">
        <v>2594</v>
      </c>
      <c r="D12" s="1264">
        <f t="shared" si="2"/>
        <v>-20.61</v>
      </c>
      <c r="E12" s="1268" t="s">
        <v>2595</v>
      </c>
      <c r="G12" s="13"/>
      <c r="H12" s="1266">
        <f t="shared" si="0"/>
        <v>2019</v>
      </c>
      <c r="I12" s="1267" t="s">
        <v>2594</v>
      </c>
      <c r="J12" s="1262">
        <f t="shared" si="1"/>
        <v>-1.7100000000000009</v>
      </c>
    </row>
    <row r="13" spans="1:10" x14ac:dyDescent="0.25">
      <c r="A13" s="1255">
        <v>2020</v>
      </c>
      <c r="B13" s="1267" t="s">
        <v>2594</v>
      </c>
      <c r="C13" s="1267" t="s">
        <v>2594</v>
      </c>
      <c r="D13" s="1264">
        <v>-20.8</v>
      </c>
      <c r="E13" s="1263" t="s">
        <v>2430</v>
      </c>
      <c r="G13" s="13"/>
      <c r="H13" s="1266">
        <f t="shared" si="0"/>
        <v>2020</v>
      </c>
      <c r="I13" s="1267" t="s">
        <v>2594</v>
      </c>
      <c r="J13" s="1262">
        <f t="shared" si="1"/>
        <v>-1.9000000000000021</v>
      </c>
    </row>
    <row r="14" spans="1:10" x14ac:dyDescent="0.25">
      <c r="A14" s="1255">
        <v>2021</v>
      </c>
      <c r="B14" s="1267" t="s">
        <v>2594</v>
      </c>
      <c r="C14" s="1267" t="s">
        <v>2594</v>
      </c>
      <c r="D14" s="1264">
        <f>D$13+(D$23-D$13)/($A$23-$A$13)*($A14-$A$13)</f>
        <v>-20.810000000000002</v>
      </c>
      <c r="E14" s="1268" t="s">
        <v>2595</v>
      </c>
      <c r="G14" s="1257"/>
      <c r="H14" s="1266">
        <f t="shared" si="0"/>
        <v>2021</v>
      </c>
      <c r="I14" s="1267" t="s">
        <v>2594</v>
      </c>
      <c r="J14" s="1262">
        <f>D14+$G$3</f>
        <v>-1.9100000000000037</v>
      </c>
    </row>
    <row r="15" spans="1:10" x14ac:dyDescent="0.25">
      <c r="A15" s="1255">
        <v>2022</v>
      </c>
      <c r="B15" s="1267" t="s">
        <v>2594</v>
      </c>
      <c r="C15" s="1267" t="s">
        <v>2594</v>
      </c>
      <c r="D15" s="1264">
        <f t="shared" ref="D15:D22" si="3">D$13+(D$23-D$13)/($A$23-$A$13)*($A15-$A$13)</f>
        <v>-20.82</v>
      </c>
      <c r="E15" s="1268" t="s">
        <v>2595</v>
      </c>
      <c r="G15" s="1257"/>
      <c r="H15" s="1266">
        <f t="shared" si="0"/>
        <v>2022</v>
      </c>
      <c r="I15" s="1267" t="s">
        <v>2594</v>
      </c>
      <c r="J15" s="1262">
        <f t="shared" si="1"/>
        <v>-1.9200000000000017</v>
      </c>
    </row>
    <row r="16" spans="1:10" x14ac:dyDescent="0.25">
      <c r="A16" s="1255">
        <v>2023</v>
      </c>
      <c r="B16" s="1267" t="s">
        <v>2594</v>
      </c>
      <c r="C16" s="1267" t="s">
        <v>2594</v>
      </c>
      <c r="D16" s="1264">
        <f t="shared" si="3"/>
        <v>-20.83</v>
      </c>
      <c r="E16" s="1268" t="s">
        <v>2595</v>
      </c>
      <c r="G16" s="1257"/>
      <c r="H16" s="1266">
        <f t="shared" si="0"/>
        <v>2023</v>
      </c>
      <c r="I16" s="1267" t="s">
        <v>2594</v>
      </c>
      <c r="J16" s="1262">
        <f t="shared" si="1"/>
        <v>-1.9299999999999997</v>
      </c>
    </row>
    <row r="17" spans="1:10" x14ac:dyDescent="0.25">
      <c r="A17" s="1255">
        <v>2024</v>
      </c>
      <c r="B17" s="1267" t="s">
        <v>2594</v>
      </c>
      <c r="C17" s="1267" t="s">
        <v>2594</v>
      </c>
      <c r="D17" s="1264">
        <f t="shared" si="3"/>
        <v>-20.84</v>
      </c>
      <c r="E17" s="1268" t="s">
        <v>2595</v>
      </c>
      <c r="H17" s="1266">
        <f t="shared" si="0"/>
        <v>2024</v>
      </c>
      <c r="I17" s="1267" t="s">
        <v>2594</v>
      </c>
      <c r="J17" s="1262">
        <f t="shared" si="1"/>
        <v>-1.9400000000000013</v>
      </c>
    </row>
    <row r="18" spans="1:10" x14ac:dyDescent="0.25">
      <c r="A18" s="1255">
        <v>2025</v>
      </c>
      <c r="B18" s="1267" t="s">
        <v>2594</v>
      </c>
      <c r="C18" s="1267" t="s">
        <v>2594</v>
      </c>
      <c r="D18" s="1264">
        <f t="shared" si="3"/>
        <v>-20.85</v>
      </c>
      <c r="E18" s="1268" t="s">
        <v>2595</v>
      </c>
      <c r="H18" s="1266">
        <f t="shared" si="0"/>
        <v>2025</v>
      </c>
      <c r="I18" s="1267" t="s">
        <v>2594</v>
      </c>
      <c r="J18" s="1262">
        <f t="shared" si="1"/>
        <v>-1.9500000000000028</v>
      </c>
    </row>
    <row r="19" spans="1:10" x14ac:dyDescent="0.25">
      <c r="A19" s="1255">
        <v>2026</v>
      </c>
      <c r="B19" s="1267" t="s">
        <v>2594</v>
      </c>
      <c r="C19" s="1267" t="s">
        <v>2594</v>
      </c>
      <c r="D19" s="1264">
        <f t="shared" si="3"/>
        <v>-20.86</v>
      </c>
      <c r="E19" s="1268" t="s">
        <v>2595</v>
      </c>
      <c r="H19" s="1266">
        <f t="shared" si="0"/>
        <v>2026</v>
      </c>
      <c r="I19" s="1267" t="s">
        <v>2594</v>
      </c>
      <c r="J19" s="1262">
        <f t="shared" si="1"/>
        <v>-1.9600000000000009</v>
      </c>
    </row>
    <row r="20" spans="1:10" x14ac:dyDescent="0.25">
      <c r="A20" s="1255">
        <v>2027</v>
      </c>
      <c r="B20" s="1267" t="s">
        <v>2594</v>
      </c>
      <c r="C20" s="1267" t="s">
        <v>2594</v>
      </c>
      <c r="D20" s="1264">
        <f t="shared" si="3"/>
        <v>-20.869999999999997</v>
      </c>
      <c r="E20" s="1268" t="s">
        <v>2595</v>
      </c>
      <c r="H20" s="1266">
        <f t="shared" si="0"/>
        <v>2027</v>
      </c>
      <c r="I20" s="1267" t="s">
        <v>2594</v>
      </c>
      <c r="J20" s="1262">
        <f t="shared" si="1"/>
        <v>-1.9699999999999989</v>
      </c>
    </row>
    <row r="21" spans="1:10" x14ac:dyDescent="0.25">
      <c r="A21" s="1255">
        <v>2028</v>
      </c>
      <c r="B21" s="1267" t="s">
        <v>2594</v>
      </c>
      <c r="C21" s="1267" t="s">
        <v>2594</v>
      </c>
      <c r="D21" s="1264">
        <f t="shared" si="3"/>
        <v>-20.88</v>
      </c>
      <c r="E21" s="1268" t="s">
        <v>2595</v>
      </c>
      <c r="H21" s="1266">
        <f t="shared" si="0"/>
        <v>2028</v>
      </c>
      <c r="I21" s="1267" t="s">
        <v>2594</v>
      </c>
      <c r="J21" s="1262">
        <f t="shared" si="1"/>
        <v>-1.9800000000000004</v>
      </c>
    </row>
    <row r="22" spans="1:10" x14ac:dyDescent="0.25">
      <c r="A22" s="1255">
        <v>2029</v>
      </c>
      <c r="B22" s="1267" t="s">
        <v>2594</v>
      </c>
      <c r="C22" s="1267" t="s">
        <v>2594</v>
      </c>
      <c r="D22" s="1264">
        <f t="shared" si="3"/>
        <v>-20.89</v>
      </c>
      <c r="E22" s="1268" t="s">
        <v>2595</v>
      </c>
      <c r="H22" s="1266">
        <f t="shared" si="0"/>
        <v>2029</v>
      </c>
      <c r="I22" s="1267" t="s">
        <v>2594</v>
      </c>
      <c r="J22" s="1262">
        <f t="shared" si="1"/>
        <v>-1.990000000000002</v>
      </c>
    </row>
    <row r="23" spans="1:10" x14ac:dyDescent="0.25">
      <c r="A23" s="1255">
        <v>2030</v>
      </c>
      <c r="B23" s="1267" t="s">
        <v>2594</v>
      </c>
      <c r="C23" s="1267" t="s">
        <v>2594</v>
      </c>
      <c r="D23" s="1264">
        <v>-20.9</v>
      </c>
      <c r="E23" s="1263" t="s">
        <v>2430</v>
      </c>
      <c r="H23" s="1266">
        <f t="shared" si="0"/>
        <v>2030</v>
      </c>
      <c r="I23" s="1267" t="s">
        <v>2594</v>
      </c>
      <c r="J23" s="1262">
        <f t="shared" si="1"/>
        <v>-2</v>
      </c>
    </row>
    <row r="25" spans="1:10" x14ac:dyDescent="0.25">
      <c r="A25" s="1272" t="s">
        <v>2597</v>
      </c>
    </row>
  </sheetData>
  <mergeCells count="1">
    <mergeCell ref="G1:J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25"/>
  <sheetViews>
    <sheetView workbookViewId="0">
      <selection activeCell="B8" sqref="B8"/>
    </sheetView>
  </sheetViews>
  <sheetFormatPr defaultRowHeight="15" x14ac:dyDescent="0.25"/>
  <cols>
    <col min="1" max="16384" width="9.140625" style="534"/>
  </cols>
  <sheetData>
    <row r="1" spans="1:10" x14ac:dyDescent="0.25">
      <c r="A1" s="1254" t="s">
        <v>2586</v>
      </c>
      <c r="B1" s="1255"/>
      <c r="C1" s="1255"/>
      <c r="D1" s="1256"/>
      <c r="E1" s="1256"/>
      <c r="G1" s="1296" t="s">
        <v>2587</v>
      </c>
      <c r="H1" s="1296"/>
      <c r="I1" s="1296"/>
      <c r="J1" s="1296"/>
    </row>
    <row r="2" spans="1:10" x14ac:dyDescent="0.25">
      <c r="A2" s="1258" t="s">
        <v>2588</v>
      </c>
      <c r="B2" s="1259" t="s">
        <v>2589</v>
      </c>
      <c r="C2" s="1259" t="s">
        <v>2590</v>
      </c>
      <c r="D2" s="1259" t="s">
        <v>2591</v>
      </c>
      <c r="E2" s="1258" t="s">
        <v>2590</v>
      </c>
      <c r="G2" s="1261" t="s">
        <v>2592</v>
      </c>
      <c r="H2" s="1258" t="s">
        <v>2588</v>
      </c>
      <c r="I2" s="1258" t="str">
        <f>B2</f>
        <v xml:space="preserve">NoPolicy </v>
      </c>
      <c r="J2" s="1258" t="str">
        <f>D2</f>
        <v xml:space="preserve">NPi </v>
      </c>
    </row>
    <row r="3" spans="1:10" x14ac:dyDescent="0.25">
      <c r="A3" s="1255">
        <v>2010</v>
      </c>
      <c r="B3" s="1262">
        <v>-43</v>
      </c>
      <c r="C3" s="1263" t="s">
        <v>1376</v>
      </c>
      <c r="D3" s="1264">
        <f>B3</f>
        <v>-43</v>
      </c>
      <c r="E3" s="1263" t="s">
        <v>1376</v>
      </c>
      <c r="G3" s="1265">
        <f>G5-B3</f>
        <v>-5.3999999999999986</v>
      </c>
      <c r="H3" s="1266">
        <f>A3</f>
        <v>2010</v>
      </c>
      <c r="I3" s="1262">
        <f>B3+$G$3</f>
        <v>-48.4</v>
      </c>
      <c r="J3" s="1262">
        <f>D3+$G$3</f>
        <v>-48.4</v>
      </c>
    </row>
    <row r="4" spans="1:10" x14ac:dyDescent="0.25">
      <c r="A4" s="1255">
        <v>2011</v>
      </c>
      <c r="B4" s="1262">
        <f>B$3+(B$8-B$3)/5*1</f>
        <v>-40.4</v>
      </c>
      <c r="C4" s="1268" t="s">
        <v>2595</v>
      </c>
      <c r="D4" s="1267" t="s">
        <v>2594</v>
      </c>
      <c r="E4" s="1267" t="s">
        <v>2594</v>
      </c>
      <c r="G4" s="1261" t="s">
        <v>2596</v>
      </c>
      <c r="H4" s="1266">
        <f t="shared" ref="H4:H23" si="0">A4</f>
        <v>2011</v>
      </c>
      <c r="I4" s="1262">
        <f t="shared" ref="I4:I23" si="1">B4+$G$3</f>
        <v>-45.8</v>
      </c>
      <c r="J4" s="1267" t="s">
        <v>2594</v>
      </c>
    </row>
    <row r="5" spans="1:10" x14ac:dyDescent="0.25">
      <c r="A5" s="1255">
        <v>2012</v>
      </c>
      <c r="B5" s="1262">
        <f>B$3+(B$8-B$3)/5*2</f>
        <v>-37.799999999999997</v>
      </c>
      <c r="C5" s="1268" t="s">
        <v>2595</v>
      </c>
      <c r="D5" s="1267" t="s">
        <v>2594</v>
      </c>
      <c r="E5" s="1267" t="s">
        <v>2594</v>
      </c>
      <c r="G5" s="1269">
        <f>(-51506.4766+3106.4766)/1000</f>
        <v>-48.4</v>
      </c>
      <c r="H5" s="1266">
        <f t="shared" si="0"/>
        <v>2012</v>
      </c>
      <c r="I5" s="1262">
        <f t="shared" si="1"/>
        <v>-43.199999999999996</v>
      </c>
      <c r="J5" s="1267" t="s">
        <v>2594</v>
      </c>
    </row>
    <row r="6" spans="1:10" x14ac:dyDescent="0.25">
      <c r="A6" s="1255">
        <v>2013</v>
      </c>
      <c r="B6" s="1262">
        <f>B$3+(B$8-B$3)/5*3</f>
        <v>-35.200000000000003</v>
      </c>
      <c r="C6" s="1268" t="s">
        <v>2595</v>
      </c>
      <c r="D6" s="1267" t="s">
        <v>2594</v>
      </c>
      <c r="E6" s="1267" t="s">
        <v>2594</v>
      </c>
      <c r="G6" s="13"/>
      <c r="H6" s="1266">
        <f t="shared" si="0"/>
        <v>2013</v>
      </c>
      <c r="I6" s="1262">
        <f t="shared" si="1"/>
        <v>-40.6</v>
      </c>
      <c r="J6" s="1267" t="s">
        <v>2594</v>
      </c>
    </row>
    <row r="7" spans="1:10" x14ac:dyDescent="0.25">
      <c r="A7" s="1255">
        <v>2014</v>
      </c>
      <c r="B7" s="1262">
        <f>B$3+(B$8-B$3)/5*4</f>
        <v>-32.6</v>
      </c>
      <c r="C7" s="1268" t="s">
        <v>2595</v>
      </c>
      <c r="D7" s="1267" t="s">
        <v>2594</v>
      </c>
      <c r="E7" s="1267" t="s">
        <v>2594</v>
      </c>
      <c r="G7" s="13"/>
      <c r="H7" s="1266">
        <f t="shared" si="0"/>
        <v>2014</v>
      </c>
      <c r="I7" s="1262">
        <f t="shared" si="1"/>
        <v>-38</v>
      </c>
      <c r="J7" s="1267" t="s">
        <v>2594</v>
      </c>
    </row>
    <row r="8" spans="1:10" x14ac:dyDescent="0.25">
      <c r="A8" s="1255">
        <v>2015</v>
      </c>
      <c r="B8" s="1262">
        <v>-30</v>
      </c>
      <c r="C8" s="1263" t="s">
        <v>1376</v>
      </c>
      <c r="D8" s="1267" t="s">
        <v>2594</v>
      </c>
      <c r="E8" s="1267" t="s">
        <v>2594</v>
      </c>
      <c r="G8" s="13"/>
      <c r="H8" s="1266">
        <f t="shared" si="0"/>
        <v>2015</v>
      </c>
      <c r="I8" s="1262">
        <f t="shared" si="1"/>
        <v>-35.4</v>
      </c>
      <c r="J8" s="1267" t="s">
        <v>2594</v>
      </c>
    </row>
    <row r="9" spans="1:10" x14ac:dyDescent="0.25">
      <c r="A9" s="1255">
        <v>2016</v>
      </c>
      <c r="B9" s="1262">
        <f>B$8+(B$13-B$8)/5*1</f>
        <v>-28.8</v>
      </c>
      <c r="C9" s="1268" t="s">
        <v>2595</v>
      </c>
      <c r="D9" s="1267" t="s">
        <v>2594</v>
      </c>
      <c r="E9" s="1267" t="s">
        <v>2594</v>
      </c>
      <c r="G9" s="13"/>
      <c r="H9" s="1266">
        <f t="shared" si="0"/>
        <v>2016</v>
      </c>
      <c r="I9" s="1262">
        <f t="shared" si="1"/>
        <v>-34.200000000000003</v>
      </c>
      <c r="J9" s="1267" t="s">
        <v>2594</v>
      </c>
    </row>
    <row r="10" spans="1:10" x14ac:dyDescent="0.25">
      <c r="A10" s="1255">
        <v>2017</v>
      </c>
      <c r="B10" s="1262">
        <f>B$8+(B$13-B$8)/5*2</f>
        <v>-27.6</v>
      </c>
      <c r="C10" s="1268" t="s">
        <v>2595</v>
      </c>
      <c r="D10" s="1267" t="s">
        <v>2594</v>
      </c>
      <c r="E10" s="1267" t="s">
        <v>2594</v>
      </c>
      <c r="G10" s="13"/>
      <c r="H10" s="1266">
        <f t="shared" si="0"/>
        <v>2017</v>
      </c>
      <c r="I10" s="1262">
        <f t="shared" si="1"/>
        <v>-33</v>
      </c>
      <c r="J10" s="1267" t="s">
        <v>2594</v>
      </c>
    </row>
    <row r="11" spans="1:10" x14ac:dyDescent="0.25">
      <c r="A11" s="1255">
        <v>2018</v>
      </c>
      <c r="B11" s="1262">
        <f>B$8+(B$13-B$8)/5*3</f>
        <v>-26.4</v>
      </c>
      <c r="C11" s="1268" t="s">
        <v>2595</v>
      </c>
      <c r="D11" s="1267" t="s">
        <v>2594</v>
      </c>
      <c r="E11" s="1267" t="s">
        <v>2594</v>
      </c>
      <c r="G11" s="13"/>
      <c r="H11" s="1266">
        <f t="shared" si="0"/>
        <v>2018</v>
      </c>
      <c r="I11" s="1262">
        <f t="shared" si="1"/>
        <v>-31.799999999999997</v>
      </c>
      <c r="J11" s="1267" t="s">
        <v>2594</v>
      </c>
    </row>
    <row r="12" spans="1:10" x14ac:dyDescent="0.25">
      <c r="A12" s="1255">
        <v>2019</v>
      </c>
      <c r="B12" s="1262">
        <f>B$8+(B$13-B$8)/5*4</f>
        <v>-25.2</v>
      </c>
      <c r="C12" s="1268" t="s">
        <v>2595</v>
      </c>
      <c r="D12" s="1267" t="s">
        <v>2594</v>
      </c>
      <c r="E12" s="1267" t="s">
        <v>2594</v>
      </c>
      <c r="G12" s="13"/>
      <c r="H12" s="1266">
        <f t="shared" si="0"/>
        <v>2019</v>
      </c>
      <c r="I12" s="1262">
        <f t="shared" si="1"/>
        <v>-30.599999999999998</v>
      </c>
      <c r="J12" s="1267" t="s">
        <v>2594</v>
      </c>
    </row>
    <row r="13" spans="1:10" x14ac:dyDescent="0.25">
      <c r="A13" s="1255">
        <v>2020</v>
      </c>
      <c r="B13" s="1262">
        <v>-24</v>
      </c>
      <c r="C13" s="1263" t="s">
        <v>1376</v>
      </c>
      <c r="D13" s="1267" t="s">
        <v>2594</v>
      </c>
      <c r="E13" s="1267" t="s">
        <v>2594</v>
      </c>
      <c r="G13" s="13"/>
      <c r="H13" s="1266">
        <f t="shared" si="0"/>
        <v>2020</v>
      </c>
      <c r="I13" s="1262">
        <f t="shared" si="1"/>
        <v>-29.4</v>
      </c>
      <c r="J13" s="1267" t="s">
        <v>2594</v>
      </c>
    </row>
    <row r="14" spans="1:10" x14ac:dyDescent="0.25">
      <c r="A14" s="1255">
        <v>2021</v>
      </c>
      <c r="B14" s="1262">
        <f>B13</f>
        <v>-24</v>
      </c>
      <c r="C14" s="1268" t="s">
        <v>2610</v>
      </c>
      <c r="D14" s="1267" t="s">
        <v>2594</v>
      </c>
      <c r="E14" s="1267" t="s">
        <v>2594</v>
      </c>
      <c r="G14" s="1257"/>
      <c r="H14" s="1266">
        <f t="shared" si="0"/>
        <v>2021</v>
      </c>
      <c r="I14" s="1262">
        <f t="shared" si="1"/>
        <v>-29.4</v>
      </c>
      <c r="J14" s="1267" t="s">
        <v>2594</v>
      </c>
    </row>
    <row r="15" spans="1:10" x14ac:dyDescent="0.25">
      <c r="A15" s="1255">
        <v>2022</v>
      </c>
      <c r="B15" s="1262">
        <f t="shared" ref="B15:B23" si="2">B14</f>
        <v>-24</v>
      </c>
      <c r="C15" s="1268" t="s">
        <v>2610</v>
      </c>
      <c r="D15" s="1267" t="s">
        <v>2594</v>
      </c>
      <c r="E15" s="1267" t="s">
        <v>2594</v>
      </c>
      <c r="G15" s="1257"/>
      <c r="H15" s="1266">
        <f t="shared" si="0"/>
        <v>2022</v>
      </c>
      <c r="I15" s="1262">
        <f t="shared" si="1"/>
        <v>-29.4</v>
      </c>
      <c r="J15" s="1267" t="s">
        <v>2594</v>
      </c>
    </row>
    <row r="16" spans="1:10" x14ac:dyDescent="0.25">
      <c r="A16" s="1255">
        <v>2023</v>
      </c>
      <c r="B16" s="1262">
        <f t="shared" si="2"/>
        <v>-24</v>
      </c>
      <c r="C16" s="1268" t="s">
        <v>2610</v>
      </c>
      <c r="D16" s="1267" t="s">
        <v>2594</v>
      </c>
      <c r="E16" s="1267" t="s">
        <v>2594</v>
      </c>
      <c r="G16" s="1257"/>
      <c r="H16" s="1266">
        <f t="shared" si="0"/>
        <v>2023</v>
      </c>
      <c r="I16" s="1262">
        <f t="shared" si="1"/>
        <v>-29.4</v>
      </c>
      <c r="J16" s="1267" t="s">
        <v>2594</v>
      </c>
    </row>
    <row r="17" spans="1:10" x14ac:dyDescent="0.25">
      <c r="A17" s="1255">
        <v>2024</v>
      </c>
      <c r="B17" s="1262">
        <f t="shared" si="2"/>
        <v>-24</v>
      </c>
      <c r="C17" s="1268" t="s">
        <v>2610</v>
      </c>
      <c r="D17" s="1267" t="s">
        <v>2594</v>
      </c>
      <c r="E17" s="1267" t="s">
        <v>2594</v>
      </c>
      <c r="H17" s="1266">
        <f t="shared" si="0"/>
        <v>2024</v>
      </c>
      <c r="I17" s="1262">
        <f t="shared" si="1"/>
        <v>-29.4</v>
      </c>
      <c r="J17" s="1267" t="s">
        <v>2594</v>
      </c>
    </row>
    <row r="18" spans="1:10" x14ac:dyDescent="0.25">
      <c r="A18" s="1255">
        <v>2025</v>
      </c>
      <c r="B18" s="1262">
        <f t="shared" si="2"/>
        <v>-24</v>
      </c>
      <c r="C18" s="1268" t="s">
        <v>2610</v>
      </c>
      <c r="D18" s="1267" t="s">
        <v>2594</v>
      </c>
      <c r="E18" s="1267" t="s">
        <v>2594</v>
      </c>
      <c r="H18" s="1266">
        <f t="shared" si="0"/>
        <v>2025</v>
      </c>
      <c r="I18" s="1262">
        <f t="shared" si="1"/>
        <v>-29.4</v>
      </c>
      <c r="J18" s="1267" t="s">
        <v>2594</v>
      </c>
    </row>
    <row r="19" spans="1:10" x14ac:dyDescent="0.25">
      <c r="A19" s="1255">
        <v>2026</v>
      </c>
      <c r="B19" s="1262">
        <f t="shared" si="2"/>
        <v>-24</v>
      </c>
      <c r="C19" s="1268" t="s">
        <v>2610</v>
      </c>
      <c r="D19" s="1267" t="s">
        <v>2594</v>
      </c>
      <c r="E19" s="1267" t="s">
        <v>2594</v>
      </c>
      <c r="H19" s="1266">
        <f t="shared" si="0"/>
        <v>2026</v>
      </c>
      <c r="I19" s="1262">
        <f t="shared" si="1"/>
        <v>-29.4</v>
      </c>
      <c r="J19" s="1267" t="s">
        <v>2594</v>
      </c>
    </row>
    <row r="20" spans="1:10" x14ac:dyDescent="0.25">
      <c r="A20" s="1255">
        <v>2027</v>
      </c>
      <c r="B20" s="1262">
        <f t="shared" si="2"/>
        <v>-24</v>
      </c>
      <c r="C20" s="1268" t="s">
        <v>2610</v>
      </c>
      <c r="D20" s="1267" t="s">
        <v>2594</v>
      </c>
      <c r="E20" s="1267" t="s">
        <v>2594</v>
      </c>
      <c r="H20" s="1266">
        <f t="shared" si="0"/>
        <v>2027</v>
      </c>
      <c r="I20" s="1262">
        <f t="shared" si="1"/>
        <v>-29.4</v>
      </c>
      <c r="J20" s="1267" t="s">
        <v>2594</v>
      </c>
    </row>
    <row r="21" spans="1:10" x14ac:dyDescent="0.25">
      <c r="A21" s="1255">
        <v>2028</v>
      </c>
      <c r="B21" s="1262">
        <f t="shared" si="2"/>
        <v>-24</v>
      </c>
      <c r="C21" s="1268" t="s">
        <v>2610</v>
      </c>
      <c r="D21" s="1267" t="s">
        <v>2594</v>
      </c>
      <c r="E21" s="1267" t="s">
        <v>2594</v>
      </c>
      <c r="H21" s="1266">
        <f t="shared" si="0"/>
        <v>2028</v>
      </c>
      <c r="I21" s="1262">
        <f t="shared" si="1"/>
        <v>-29.4</v>
      </c>
      <c r="J21" s="1267" t="s">
        <v>2594</v>
      </c>
    </row>
    <row r="22" spans="1:10" x14ac:dyDescent="0.25">
      <c r="A22" s="1255">
        <v>2029</v>
      </c>
      <c r="B22" s="1262">
        <f t="shared" si="2"/>
        <v>-24</v>
      </c>
      <c r="C22" s="1268" t="s">
        <v>2610</v>
      </c>
      <c r="D22" s="1267" t="s">
        <v>2594</v>
      </c>
      <c r="E22" s="1267" t="s">
        <v>2594</v>
      </c>
      <c r="H22" s="1266">
        <f t="shared" si="0"/>
        <v>2029</v>
      </c>
      <c r="I22" s="1262">
        <f t="shared" si="1"/>
        <v>-29.4</v>
      </c>
      <c r="J22" s="1267" t="s">
        <v>2594</v>
      </c>
    </row>
    <row r="23" spans="1:10" x14ac:dyDescent="0.25">
      <c r="A23" s="1255">
        <v>2030</v>
      </c>
      <c r="B23" s="1262">
        <f t="shared" si="2"/>
        <v>-24</v>
      </c>
      <c r="C23" s="1268" t="s">
        <v>2610</v>
      </c>
      <c r="D23" s="1267" t="s">
        <v>2594</v>
      </c>
      <c r="E23" s="1267" t="s">
        <v>2594</v>
      </c>
      <c r="H23" s="1266">
        <f t="shared" si="0"/>
        <v>2030</v>
      </c>
      <c r="I23" s="1262">
        <f t="shared" si="1"/>
        <v>-29.4</v>
      </c>
      <c r="J23" s="1267" t="s">
        <v>2594</v>
      </c>
    </row>
    <row r="25" spans="1:10" x14ac:dyDescent="0.25">
      <c r="A25" s="1272" t="s">
        <v>2597</v>
      </c>
    </row>
  </sheetData>
  <mergeCells count="1">
    <mergeCell ref="G1:J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23"/>
  <sheetViews>
    <sheetView workbookViewId="0">
      <selection activeCell="B8" sqref="B8"/>
    </sheetView>
  </sheetViews>
  <sheetFormatPr defaultRowHeight="15" x14ac:dyDescent="0.25"/>
  <cols>
    <col min="1" max="16384" width="9.140625" style="534"/>
  </cols>
  <sheetData>
    <row r="1" spans="1:10" x14ac:dyDescent="0.25">
      <c r="A1" s="1254" t="s">
        <v>2586</v>
      </c>
      <c r="B1" s="1255"/>
      <c r="C1" s="1255"/>
      <c r="D1" s="1256"/>
      <c r="E1" s="1256"/>
      <c r="G1" s="1296" t="s">
        <v>2587</v>
      </c>
      <c r="H1" s="1296"/>
      <c r="I1" s="1296"/>
      <c r="J1" s="1296"/>
    </row>
    <row r="2" spans="1:10" x14ac:dyDescent="0.25">
      <c r="A2" s="1258" t="s">
        <v>2588</v>
      </c>
      <c r="B2" s="1259" t="s">
        <v>2589</v>
      </c>
      <c r="C2" s="1259" t="s">
        <v>2590</v>
      </c>
      <c r="D2" s="1259" t="s">
        <v>2591</v>
      </c>
      <c r="E2" s="1258" t="s">
        <v>2590</v>
      </c>
      <c r="G2" s="1261" t="s">
        <v>2592</v>
      </c>
      <c r="H2" s="1258" t="s">
        <v>2588</v>
      </c>
      <c r="I2" s="1258" t="str">
        <f>B2</f>
        <v xml:space="preserve">NoPolicy </v>
      </c>
      <c r="J2" s="1258" t="str">
        <f>D2</f>
        <v xml:space="preserve">NPi </v>
      </c>
    </row>
    <row r="3" spans="1:10" x14ac:dyDescent="0.25">
      <c r="A3" s="1255">
        <v>2010</v>
      </c>
      <c r="B3" s="1262">
        <v>-47.459499999999998</v>
      </c>
      <c r="C3" s="1263" t="s">
        <v>2608</v>
      </c>
      <c r="D3" s="1264">
        <f>B3</f>
        <v>-47.459499999999998</v>
      </c>
      <c r="E3" s="1263" t="s">
        <v>2608</v>
      </c>
      <c r="G3" s="1265">
        <f>G5-B3</f>
        <v>-7.474499999999999</v>
      </c>
      <c r="H3" s="1266">
        <f>A3</f>
        <v>2010</v>
      </c>
      <c r="I3" s="1262">
        <f>B3+$G$3</f>
        <v>-54.933999999999997</v>
      </c>
      <c r="J3" s="1262">
        <f>D3+$G$3</f>
        <v>-54.933999999999997</v>
      </c>
    </row>
    <row r="4" spans="1:10" x14ac:dyDescent="0.25">
      <c r="A4" s="1255">
        <v>2011</v>
      </c>
      <c r="B4" s="1262">
        <f>B$3+(B$13-B$3)/($A$13-$A$3)*($A4-$A$3)</f>
        <v>-46.713549999999998</v>
      </c>
      <c r="C4" s="1268" t="s">
        <v>2595</v>
      </c>
      <c r="D4" s="1264">
        <f>D$3+(D$13-D$3)/($A$13-$A$3)*($A4-$A$3)</f>
        <v>-49.717137999999998</v>
      </c>
      <c r="E4" s="1268" t="s">
        <v>2595</v>
      </c>
      <c r="G4" s="1261" t="s">
        <v>2596</v>
      </c>
      <c r="H4" s="1266">
        <f t="shared" ref="H4:H23" si="0">A4</f>
        <v>2011</v>
      </c>
      <c r="I4" s="1262">
        <f t="shared" ref="I4:I23" si="1">B4+$G$3</f>
        <v>-54.188049999999997</v>
      </c>
      <c r="J4" s="1262">
        <f t="shared" ref="J4:J23" si="2">D4+$G$3</f>
        <v>-57.191637999999998</v>
      </c>
    </row>
    <row r="5" spans="1:10" x14ac:dyDescent="0.25">
      <c r="A5" s="1255">
        <v>2012</v>
      </c>
      <c r="B5" s="1262">
        <f t="shared" ref="B5:B12" si="3">B$3+(B$13-B$3)/($A$13-$A$3)*($A5-$A$3)</f>
        <v>-45.967599999999997</v>
      </c>
      <c r="C5" s="1268" t="s">
        <v>2595</v>
      </c>
      <c r="D5" s="1264">
        <f t="shared" ref="D5:D12" si="4">D$3+(D$13-D$3)/($A$13-$A$3)*($A5-$A$3)</f>
        <v>-51.974775999999999</v>
      </c>
      <c r="E5" s="1268" t="s">
        <v>2595</v>
      </c>
      <c r="G5" s="1269">
        <f>(-59918.6716+4984.6716)/1000</f>
        <v>-54.933999999999997</v>
      </c>
      <c r="H5" s="1266">
        <f t="shared" si="0"/>
        <v>2012</v>
      </c>
      <c r="I5" s="1262">
        <f t="shared" si="1"/>
        <v>-53.442099999999996</v>
      </c>
      <c r="J5" s="1262">
        <f t="shared" si="2"/>
        <v>-59.449275999999998</v>
      </c>
    </row>
    <row r="6" spans="1:10" x14ac:dyDescent="0.25">
      <c r="A6" s="1255">
        <v>2013</v>
      </c>
      <c r="B6" s="1262">
        <f t="shared" si="3"/>
        <v>-45.221649999999997</v>
      </c>
      <c r="C6" s="1268" t="s">
        <v>2595</v>
      </c>
      <c r="D6" s="1264">
        <f t="shared" si="4"/>
        <v>-54.232413999999999</v>
      </c>
      <c r="E6" s="1268" t="s">
        <v>2595</v>
      </c>
      <c r="G6" s="13"/>
      <c r="H6" s="1266">
        <f t="shared" si="0"/>
        <v>2013</v>
      </c>
      <c r="I6" s="1262">
        <f t="shared" si="1"/>
        <v>-52.696149999999996</v>
      </c>
      <c r="J6" s="1262">
        <f t="shared" si="2"/>
        <v>-61.706913999999998</v>
      </c>
    </row>
    <row r="7" spans="1:10" x14ac:dyDescent="0.25">
      <c r="A7" s="1255">
        <v>2014</v>
      </c>
      <c r="B7" s="1262">
        <f t="shared" si="3"/>
        <v>-44.475699999999996</v>
      </c>
      <c r="C7" s="1268" t="s">
        <v>2595</v>
      </c>
      <c r="D7" s="1264">
        <f t="shared" si="4"/>
        <v>-56.490052000000006</v>
      </c>
      <c r="E7" s="1268" t="s">
        <v>2595</v>
      </c>
      <c r="G7" s="13"/>
      <c r="H7" s="1266">
        <f t="shared" si="0"/>
        <v>2014</v>
      </c>
      <c r="I7" s="1262">
        <f t="shared" si="1"/>
        <v>-51.950199999999995</v>
      </c>
      <c r="J7" s="1262">
        <f t="shared" si="2"/>
        <v>-63.964552000000005</v>
      </c>
    </row>
    <row r="8" spans="1:10" x14ac:dyDescent="0.25">
      <c r="A8" s="1255">
        <v>2015</v>
      </c>
      <c r="B8" s="1262">
        <f t="shared" si="3"/>
        <v>-43.729749999999996</v>
      </c>
      <c r="C8" s="1268" t="s">
        <v>2595</v>
      </c>
      <c r="D8" s="1264">
        <f t="shared" si="4"/>
        <v>-58.747690000000006</v>
      </c>
      <c r="E8" s="1268" t="s">
        <v>2595</v>
      </c>
      <c r="G8" s="13"/>
      <c r="H8" s="1266">
        <f t="shared" si="0"/>
        <v>2015</v>
      </c>
      <c r="I8" s="1262">
        <f t="shared" si="1"/>
        <v>-51.204249999999995</v>
      </c>
      <c r="J8" s="1262">
        <f t="shared" si="2"/>
        <v>-66.222190000000012</v>
      </c>
    </row>
    <row r="9" spans="1:10" x14ac:dyDescent="0.25">
      <c r="A9" s="1255">
        <v>2016</v>
      </c>
      <c r="B9" s="1262">
        <f t="shared" si="3"/>
        <v>-42.983800000000002</v>
      </c>
      <c r="C9" s="1268" t="s">
        <v>2595</v>
      </c>
      <c r="D9" s="1264">
        <f t="shared" si="4"/>
        <v>-61.005328000000006</v>
      </c>
      <c r="E9" s="1268" t="s">
        <v>2595</v>
      </c>
      <c r="G9" s="13"/>
      <c r="H9" s="1266">
        <f t="shared" si="0"/>
        <v>2016</v>
      </c>
      <c r="I9" s="1262">
        <f t="shared" si="1"/>
        <v>-50.458300000000001</v>
      </c>
      <c r="J9" s="1262">
        <f t="shared" si="2"/>
        <v>-68.479827999999998</v>
      </c>
    </row>
    <row r="10" spans="1:10" x14ac:dyDescent="0.25">
      <c r="A10" s="1255">
        <v>2017</v>
      </c>
      <c r="B10" s="1262">
        <f t="shared" si="3"/>
        <v>-42.237850000000002</v>
      </c>
      <c r="C10" s="1268" t="s">
        <v>2595</v>
      </c>
      <c r="D10" s="1264">
        <f t="shared" si="4"/>
        <v>-63.262966000000006</v>
      </c>
      <c r="E10" s="1268" t="s">
        <v>2595</v>
      </c>
      <c r="G10" s="13"/>
      <c r="H10" s="1266">
        <f t="shared" si="0"/>
        <v>2017</v>
      </c>
      <c r="I10" s="1262">
        <f t="shared" si="1"/>
        <v>-49.712350000000001</v>
      </c>
      <c r="J10" s="1262">
        <f t="shared" si="2"/>
        <v>-70.737466000000012</v>
      </c>
    </row>
    <row r="11" spans="1:10" x14ac:dyDescent="0.25">
      <c r="A11" s="1255">
        <v>2018</v>
      </c>
      <c r="B11" s="1262">
        <f t="shared" si="3"/>
        <v>-41.491900000000001</v>
      </c>
      <c r="C11" s="1268" t="s">
        <v>2595</v>
      </c>
      <c r="D11" s="1264">
        <f t="shared" si="4"/>
        <v>-65.520604000000006</v>
      </c>
      <c r="E11" s="1268" t="s">
        <v>2595</v>
      </c>
      <c r="G11" s="13"/>
      <c r="H11" s="1266">
        <f t="shared" si="0"/>
        <v>2018</v>
      </c>
      <c r="I11" s="1262">
        <f t="shared" si="1"/>
        <v>-48.9664</v>
      </c>
      <c r="J11" s="1262">
        <f t="shared" si="2"/>
        <v>-72.995103999999998</v>
      </c>
    </row>
    <row r="12" spans="1:10" x14ac:dyDescent="0.25">
      <c r="A12" s="1255">
        <v>2019</v>
      </c>
      <c r="B12" s="1262">
        <f t="shared" si="3"/>
        <v>-40.745950000000001</v>
      </c>
      <c r="C12" s="1268" t="s">
        <v>2595</v>
      </c>
      <c r="D12" s="1264">
        <f t="shared" si="4"/>
        <v>-67.778242000000006</v>
      </c>
      <c r="E12" s="1268" t="s">
        <v>2595</v>
      </c>
      <c r="G12" s="13"/>
      <c r="H12" s="1266">
        <f t="shared" si="0"/>
        <v>2019</v>
      </c>
      <c r="I12" s="1262">
        <f t="shared" si="1"/>
        <v>-48.22045</v>
      </c>
      <c r="J12" s="1262">
        <f t="shared" si="2"/>
        <v>-75.252742000000012</v>
      </c>
    </row>
    <row r="13" spans="1:10" x14ac:dyDescent="0.25">
      <c r="A13" s="1255">
        <v>2020</v>
      </c>
      <c r="B13" s="1262">
        <v>-40</v>
      </c>
      <c r="C13" s="1263" t="s">
        <v>2608</v>
      </c>
      <c r="D13" s="1264">
        <v>-70.035880000000006</v>
      </c>
      <c r="E13" s="1263" t="s">
        <v>2608</v>
      </c>
      <c r="G13" s="13"/>
      <c r="H13" s="1266">
        <f t="shared" si="0"/>
        <v>2020</v>
      </c>
      <c r="I13" s="1262">
        <f t="shared" si="1"/>
        <v>-47.474499999999999</v>
      </c>
      <c r="J13" s="1262">
        <f t="shared" si="2"/>
        <v>-77.510379999999998</v>
      </c>
    </row>
    <row r="14" spans="1:10" x14ac:dyDescent="0.25">
      <c r="A14" s="1255">
        <v>2021</v>
      </c>
      <c r="B14" s="1262">
        <f>B$13+(B$23-B$13)/($A$23-$A$13)*($A14-$A$13)</f>
        <v>-39.869810000000001</v>
      </c>
      <c r="C14" s="1268" t="s">
        <v>2595</v>
      </c>
      <c r="D14" s="1262">
        <f>D$13+(D$23-D$13)/($A$23-$A$13)*($A14-$A$13)</f>
        <v>-70.003332</v>
      </c>
      <c r="E14" s="1268" t="s">
        <v>2595</v>
      </c>
      <c r="G14" s="1257"/>
      <c r="H14" s="1266">
        <f t="shared" si="0"/>
        <v>2021</v>
      </c>
      <c r="I14" s="1262">
        <f t="shared" si="1"/>
        <v>-47.34431</v>
      </c>
      <c r="J14" s="1262">
        <f>D14+$G$3</f>
        <v>-77.477832000000006</v>
      </c>
    </row>
    <row r="15" spans="1:10" x14ac:dyDescent="0.25">
      <c r="A15" s="1255">
        <v>2022</v>
      </c>
      <c r="B15" s="1262">
        <f t="shared" ref="B15:B22" si="5">B$13+(B$23-B$13)/($A$23-$A$13)*($A15-$A$13)</f>
        <v>-39.739620000000002</v>
      </c>
      <c r="C15" s="1268" t="s">
        <v>2595</v>
      </c>
      <c r="D15" s="1262">
        <f t="shared" ref="D15:D22" si="6">D$13+(D$23-D$13)/($A$23-$A$13)*($A15-$A$13)</f>
        <v>-69.970784000000009</v>
      </c>
      <c r="E15" s="1268" t="s">
        <v>2595</v>
      </c>
      <c r="G15" s="1257"/>
      <c r="H15" s="1266">
        <f t="shared" si="0"/>
        <v>2022</v>
      </c>
      <c r="I15" s="1262">
        <f t="shared" si="1"/>
        <v>-47.214120000000001</v>
      </c>
      <c r="J15" s="1262">
        <f t="shared" si="2"/>
        <v>-77.445284000000015</v>
      </c>
    </row>
    <row r="16" spans="1:10" x14ac:dyDescent="0.25">
      <c r="A16" s="1255">
        <v>2023</v>
      </c>
      <c r="B16" s="1262">
        <f t="shared" si="5"/>
        <v>-39.609429999999996</v>
      </c>
      <c r="C16" s="1268" t="s">
        <v>2595</v>
      </c>
      <c r="D16" s="1262">
        <f t="shared" si="6"/>
        <v>-69.938236000000003</v>
      </c>
      <c r="E16" s="1268" t="s">
        <v>2595</v>
      </c>
      <c r="G16" s="1257"/>
      <c r="H16" s="1266">
        <f t="shared" si="0"/>
        <v>2023</v>
      </c>
      <c r="I16" s="1262">
        <f t="shared" si="1"/>
        <v>-47.083929999999995</v>
      </c>
      <c r="J16" s="1262">
        <f t="shared" si="2"/>
        <v>-77.412735999999995</v>
      </c>
    </row>
    <row r="17" spans="1:10" x14ac:dyDescent="0.25">
      <c r="A17" s="1255">
        <v>2024</v>
      </c>
      <c r="B17" s="1262">
        <f t="shared" si="5"/>
        <v>-39.479239999999997</v>
      </c>
      <c r="C17" s="1268" t="s">
        <v>2595</v>
      </c>
      <c r="D17" s="1262">
        <f t="shared" si="6"/>
        <v>-69.905688000000012</v>
      </c>
      <c r="E17" s="1268" t="s">
        <v>2595</v>
      </c>
      <c r="H17" s="1266">
        <f t="shared" si="0"/>
        <v>2024</v>
      </c>
      <c r="I17" s="1262">
        <f t="shared" si="1"/>
        <v>-46.953739999999996</v>
      </c>
      <c r="J17" s="1262">
        <f t="shared" si="2"/>
        <v>-77.380188000000004</v>
      </c>
    </row>
    <row r="18" spans="1:10" x14ac:dyDescent="0.25">
      <c r="A18" s="1255">
        <v>2025</v>
      </c>
      <c r="B18" s="1262">
        <f t="shared" si="5"/>
        <v>-39.349049999999998</v>
      </c>
      <c r="C18" s="1268" t="s">
        <v>2595</v>
      </c>
      <c r="D18" s="1262">
        <f t="shared" si="6"/>
        <v>-69.873140000000006</v>
      </c>
      <c r="E18" s="1268" t="s">
        <v>2595</v>
      </c>
      <c r="H18" s="1266">
        <f t="shared" si="0"/>
        <v>2025</v>
      </c>
      <c r="I18" s="1262">
        <f t="shared" si="1"/>
        <v>-46.823549999999997</v>
      </c>
      <c r="J18" s="1262">
        <f t="shared" si="2"/>
        <v>-77.347640000000013</v>
      </c>
    </row>
    <row r="19" spans="1:10" x14ac:dyDescent="0.25">
      <c r="A19" s="1255">
        <v>2026</v>
      </c>
      <c r="B19" s="1262">
        <f t="shared" si="5"/>
        <v>-39.218859999999999</v>
      </c>
      <c r="C19" s="1268" t="s">
        <v>2595</v>
      </c>
      <c r="D19" s="1262">
        <f t="shared" si="6"/>
        <v>-69.840592000000001</v>
      </c>
      <c r="E19" s="1268" t="s">
        <v>2595</v>
      </c>
      <c r="H19" s="1266">
        <f t="shared" si="0"/>
        <v>2026</v>
      </c>
      <c r="I19" s="1262">
        <f t="shared" si="1"/>
        <v>-46.693359999999998</v>
      </c>
      <c r="J19" s="1262">
        <f t="shared" si="2"/>
        <v>-77.315091999999993</v>
      </c>
    </row>
    <row r="20" spans="1:10" x14ac:dyDescent="0.25">
      <c r="A20" s="1255">
        <v>2027</v>
      </c>
      <c r="B20" s="1262">
        <f t="shared" si="5"/>
        <v>-39.08867</v>
      </c>
      <c r="C20" s="1268" t="s">
        <v>2595</v>
      </c>
      <c r="D20" s="1262">
        <f t="shared" si="6"/>
        <v>-69.80804400000001</v>
      </c>
      <c r="E20" s="1268" t="s">
        <v>2595</v>
      </c>
      <c r="H20" s="1266">
        <f t="shared" si="0"/>
        <v>2027</v>
      </c>
      <c r="I20" s="1262">
        <f t="shared" si="1"/>
        <v>-46.56317</v>
      </c>
      <c r="J20" s="1262">
        <f t="shared" si="2"/>
        <v>-77.282544000000001</v>
      </c>
    </row>
    <row r="21" spans="1:10" x14ac:dyDescent="0.25">
      <c r="A21" s="1255">
        <v>2028</v>
      </c>
      <c r="B21" s="1262">
        <f t="shared" si="5"/>
        <v>-38.958479999999994</v>
      </c>
      <c r="C21" s="1268" t="s">
        <v>2595</v>
      </c>
      <c r="D21" s="1262">
        <f t="shared" si="6"/>
        <v>-69.775496000000004</v>
      </c>
      <c r="E21" s="1268" t="s">
        <v>2595</v>
      </c>
      <c r="H21" s="1266">
        <f t="shared" si="0"/>
        <v>2028</v>
      </c>
      <c r="I21" s="1262">
        <f t="shared" si="1"/>
        <v>-46.432979999999993</v>
      </c>
      <c r="J21" s="1262">
        <f t="shared" si="2"/>
        <v>-77.24999600000001</v>
      </c>
    </row>
    <row r="22" spans="1:10" x14ac:dyDescent="0.25">
      <c r="A22" s="1255">
        <v>2029</v>
      </c>
      <c r="B22" s="1262">
        <f t="shared" si="5"/>
        <v>-38.828289999999996</v>
      </c>
      <c r="C22" s="1268" t="s">
        <v>2595</v>
      </c>
      <c r="D22" s="1262">
        <f t="shared" si="6"/>
        <v>-69.742948000000013</v>
      </c>
      <c r="E22" s="1268" t="s">
        <v>2595</v>
      </c>
      <c r="H22" s="1266">
        <f t="shared" si="0"/>
        <v>2029</v>
      </c>
      <c r="I22" s="1262">
        <f t="shared" si="1"/>
        <v>-46.302789999999995</v>
      </c>
      <c r="J22" s="1262">
        <f t="shared" si="2"/>
        <v>-77.217448000000019</v>
      </c>
    </row>
    <row r="23" spans="1:10" x14ac:dyDescent="0.25">
      <c r="A23" s="1255">
        <v>2030</v>
      </c>
      <c r="B23" s="1262">
        <v>-38.698099999999997</v>
      </c>
      <c r="C23" s="1263" t="s">
        <v>2608</v>
      </c>
      <c r="D23" s="1262">
        <v>-69.710400000000007</v>
      </c>
      <c r="E23" s="1263" t="s">
        <v>2608</v>
      </c>
      <c r="H23" s="1266">
        <f t="shared" si="0"/>
        <v>2030</v>
      </c>
      <c r="I23" s="1262">
        <f t="shared" si="1"/>
        <v>-46.172599999999996</v>
      </c>
      <c r="J23" s="1262">
        <f t="shared" si="2"/>
        <v>-77.184899999999999</v>
      </c>
    </row>
  </sheetData>
  <mergeCells count="1">
    <mergeCell ref="G1:J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25"/>
  <sheetViews>
    <sheetView workbookViewId="0">
      <selection activeCell="B8" sqref="B8"/>
    </sheetView>
  </sheetViews>
  <sheetFormatPr defaultRowHeight="15" x14ac:dyDescent="0.25"/>
  <cols>
    <col min="1" max="16384" width="9.140625" style="534"/>
  </cols>
  <sheetData>
    <row r="1" spans="1:10" x14ac:dyDescent="0.25">
      <c r="A1" s="1273" t="s">
        <v>2598</v>
      </c>
      <c r="B1" s="536"/>
      <c r="C1" s="536"/>
      <c r="D1" s="12"/>
      <c r="E1" s="12"/>
      <c r="G1" s="1296" t="s">
        <v>2587</v>
      </c>
      <c r="H1" s="1296"/>
      <c r="I1" s="1296"/>
      <c r="J1" s="1296"/>
    </row>
    <row r="2" spans="1:10" x14ac:dyDescent="0.25">
      <c r="A2" s="1258" t="s">
        <v>2588</v>
      </c>
      <c r="B2" s="1259" t="s">
        <v>2589</v>
      </c>
      <c r="C2" s="1258" t="s">
        <v>2590</v>
      </c>
      <c r="D2" s="1259" t="s">
        <v>2591</v>
      </c>
      <c r="E2" s="1258" t="s">
        <v>2590</v>
      </c>
      <c r="G2" s="1261" t="s">
        <v>2592</v>
      </c>
      <c r="H2" s="1258" t="s">
        <v>2588</v>
      </c>
      <c r="I2" s="1258" t="str">
        <f>B2</f>
        <v xml:space="preserve">NoPolicy </v>
      </c>
      <c r="J2" s="1258" t="str">
        <f>D2</f>
        <v xml:space="preserve">NPi </v>
      </c>
    </row>
    <row r="3" spans="1:10" x14ac:dyDescent="0.25">
      <c r="A3" s="1255">
        <v>2010</v>
      </c>
      <c r="B3" s="1262">
        <v>-852</v>
      </c>
      <c r="C3" s="1263" t="s">
        <v>2621</v>
      </c>
      <c r="D3" s="1264">
        <f>B3</f>
        <v>-852</v>
      </c>
      <c r="E3" s="1263" t="s">
        <v>2621</v>
      </c>
      <c r="G3" s="1265">
        <f>G5-B3</f>
        <v>357.73333330000003</v>
      </c>
      <c r="H3" s="1266">
        <f>A3</f>
        <v>2010</v>
      </c>
      <c r="I3" s="1262">
        <f>B3+$G$3</f>
        <v>-494.26666669999997</v>
      </c>
      <c r="J3" s="1262">
        <f>D3+$G$3</f>
        <v>-494.26666669999997</v>
      </c>
    </row>
    <row r="4" spans="1:10" x14ac:dyDescent="0.25">
      <c r="A4" s="1255">
        <v>2011</v>
      </c>
      <c r="B4" s="1262">
        <f>B$3+(B$8-B$3)/($A$8-$A$3)*($A4-$A$3)</f>
        <v>-861.6</v>
      </c>
      <c r="C4" s="1277" t="s">
        <v>2595</v>
      </c>
      <c r="D4" s="1264">
        <f>D$3+(D$8-D$3)/($A$8-$A$3)*($A4-$A$3)</f>
        <v>-870</v>
      </c>
      <c r="E4" s="1277" t="s">
        <v>2595</v>
      </c>
      <c r="G4" s="1261" t="s">
        <v>2596</v>
      </c>
      <c r="H4" s="1266">
        <f t="shared" ref="H4:H23" si="0">A4</f>
        <v>2011</v>
      </c>
      <c r="I4" s="1262">
        <f t="shared" ref="I4:I23" si="1">B4+$G$3</f>
        <v>-503.8666667</v>
      </c>
      <c r="J4" s="1262">
        <f t="shared" ref="J4:J23" si="2">D4+$G$3</f>
        <v>-512.26666669999997</v>
      </c>
    </row>
    <row r="5" spans="1:10" x14ac:dyDescent="0.25">
      <c r="A5" s="1255">
        <v>2012</v>
      </c>
      <c r="B5" s="1262">
        <f t="shared" ref="B5:D7" si="3">B$3+(B$8-B$3)/($A$8-$A$3)*($A5-$A$3)</f>
        <v>-871.2</v>
      </c>
      <c r="C5" s="1277" t="s">
        <v>2595</v>
      </c>
      <c r="D5" s="1264">
        <f t="shared" si="3"/>
        <v>-888</v>
      </c>
      <c r="E5" s="1277" t="s">
        <v>2595</v>
      </c>
      <c r="G5" s="1269">
        <f>(-494266.6667+0)/1000</f>
        <v>-494.26666669999997</v>
      </c>
      <c r="H5" s="1266">
        <f t="shared" si="0"/>
        <v>2012</v>
      </c>
      <c r="I5" s="1262">
        <f t="shared" si="1"/>
        <v>-513.46666670000002</v>
      </c>
      <c r="J5" s="1262">
        <f t="shared" si="2"/>
        <v>-530.26666669999997</v>
      </c>
    </row>
    <row r="6" spans="1:10" x14ac:dyDescent="0.25">
      <c r="A6" s="1255">
        <v>2013</v>
      </c>
      <c r="B6" s="1262">
        <f t="shared" si="3"/>
        <v>-880.8</v>
      </c>
      <c r="C6" s="1277" t="s">
        <v>2595</v>
      </c>
      <c r="D6" s="1264">
        <f t="shared" si="3"/>
        <v>-906</v>
      </c>
      <c r="E6" s="1277" t="s">
        <v>2595</v>
      </c>
      <c r="G6" s="13"/>
      <c r="H6" s="1266">
        <f t="shared" si="0"/>
        <v>2013</v>
      </c>
      <c r="I6" s="1262">
        <f t="shared" si="1"/>
        <v>-523.06666669999993</v>
      </c>
      <c r="J6" s="1262">
        <f t="shared" si="2"/>
        <v>-548.26666669999997</v>
      </c>
    </row>
    <row r="7" spans="1:10" x14ac:dyDescent="0.25">
      <c r="A7" s="1255">
        <v>2014</v>
      </c>
      <c r="B7" s="1262">
        <f t="shared" si="3"/>
        <v>-890.4</v>
      </c>
      <c r="C7" s="1277" t="s">
        <v>2595</v>
      </c>
      <c r="D7" s="1264">
        <f t="shared" si="3"/>
        <v>-924</v>
      </c>
      <c r="E7" s="1277" t="s">
        <v>2595</v>
      </c>
      <c r="G7" s="13"/>
      <c r="H7" s="1266">
        <f t="shared" si="0"/>
        <v>2014</v>
      </c>
      <c r="I7" s="1262">
        <f t="shared" si="1"/>
        <v>-532.66666669999995</v>
      </c>
      <c r="J7" s="1262">
        <f t="shared" si="2"/>
        <v>-566.26666669999997</v>
      </c>
    </row>
    <row r="8" spans="1:10" x14ac:dyDescent="0.25">
      <c r="A8" s="1255">
        <v>2015</v>
      </c>
      <c r="B8" s="1262">
        <v>-900</v>
      </c>
      <c r="C8" s="1263" t="s">
        <v>2621</v>
      </c>
      <c r="D8" s="1262">
        <v>-942</v>
      </c>
      <c r="E8" s="1263" t="s">
        <v>2621</v>
      </c>
      <c r="G8" s="13"/>
      <c r="H8" s="1266">
        <f t="shared" si="0"/>
        <v>2015</v>
      </c>
      <c r="I8" s="1262">
        <f t="shared" si="1"/>
        <v>-542.26666669999997</v>
      </c>
      <c r="J8" s="1262">
        <f t="shared" si="2"/>
        <v>-584.26666669999997</v>
      </c>
    </row>
    <row r="9" spans="1:10" x14ac:dyDescent="0.25">
      <c r="A9" s="1255">
        <v>2016</v>
      </c>
      <c r="B9" s="1262">
        <f>B$8+(B$13-B$8)/5*1</f>
        <v>-923.2</v>
      </c>
      <c r="C9" s="1277" t="s">
        <v>2595</v>
      </c>
      <c r="D9" s="1264">
        <f>D$8+(D$13-D$8)/5*1</f>
        <v>-986.2</v>
      </c>
      <c r="E9" s="1277" t="s">
        <v>2595</v>
      </c>
      <c r="G9" s="13"/>
      <c r="H9" s="1266">
        <f t="shared" si="0"/>
        <v>2016</v>
      </c>
      <c r="I9" s="1262">
        <f t="shared" si="1"/>
        <v>-565.46666670000002</v>
      </c>
      <c r="J9" s="1262">
        <f t="shared" si="2"/>
        <v>-628.46666670000002</v>
      </c>
    </row>
    <row r="10" spans="1:10" x14ac:dyDescent="0.25">
      <c r="A10" s="1255">
        <v>2017</v>
      </c>
      <c r="B10" s="1262">
        <f>B$8+(B$13-B$8)/5*2</f>
        <v>-946.4</v>
      </c>
      <c r="C10" s="1277" t="s">
        <v>2595</v>
      </c>
      <c r="D10" s="1264">
        <f>D$8+(D$13-D$8)/5*2</f>
        <v>-1030.4000000000001</v>
      </c>
      <c r="E10" s="1277" t="s">
        <v>2595</v>
      </c>
      <c r="G10" s="13"/>
      <c r="H10" s="1266">
        <f t="shared" si="0"/>
        <v>2017</v>
      </c>
      <c r="I10" s="1262">
        <f t="shared" si="1"/>
        <v>-588.66666669999995</v>
      </c>
      <c r="J10" s="1262">
        <f t="shared" si="2"/>
        <v>-672.66666670000006</v>
      </c>
    </row>
    <row r="11" spans="1:10" x14ac:dyDescent="0.25">
      <c r="A11" s="1255">
        <v>2018</v>
      </c>
      <c r="B11" s="1262">
        <f>B$8+(B$13-B$8)/5*3</f>
        <v>-969.6</v>
      </c>
      <c r="C11" s="1277" t="s">
        <v>2595</v>
      </c>
      <c r="D11" s="1264">
        <f>D$8+(D$13-D$8)/5*3</f>
        <v>-1074.5999999999999</v>
      </c>
      <c r="E11" s="1277" t="s">
        <v>2595</v>
      </c>
      <c r="G11" s="13"/>
      <c r="H11" s="1266">
        <f t="shared" si="0"/>
        <v>2018</v>
      </c>
      <c r="I11" s="1262">
        <f t="shared" si="1"/>
        <v>-611.8666667</v>
      </c>
      <c r="J11" s="1262">
        <f t="shared" si="2"/>
        <v>-716.86666669999988</v>
      </c>
    </row>
    <row r="12" spans="1:10" x14ac:dyDescent="0.25">
      <c r="A12" s="1255">
        <v>2019</v>
      </c>
      <c r="B12" s="1262">
        <f>B$8+(B$13-B$8)/5*4</f>
        <v>-992.8</v>
      </c>
      <c r="C12" s="1277" t="s">
        <v>2595</v>
      </c>
      <c r="D12" s="1264">
        <f>D$8+(D$13-D$8)/5*4</f>
        <v>-1118.8</v>
      </c>
      <c r="E12" s="1277" t="s">
        <v>2595</v>
      </c>
      <c r="G12" s="13"/>
      <c r="H12" s="1266">
        <f t="shared" si="0"/>
        <v>2019</v>
      </c>
      <c r="I12" s="1262">
        <f t="shared" si="1"/>
        <v>-635.06666669999993</v>
      </c>
      <c r="J12" s="1262">
        <f t="shared" si="2"/>
        <v>-761.06666669999993</v>
      </c>
    </row>
    <row r="13" spans="1:10" x14ac:dyDescent="0.25">
      <c r="A13" s="1255">
        <v>2020</v>
      </c>
      <c r="B13" s="1262">
        <v>-1016</v>
      </c>
      <c r="C13" s="1263" t="s">
        <v>2621</v>
      </c>
      <c r="D13" s="1262">
        <v>-1163</v>
      </c>
      <c r="E13" s="1263" t="s">
        <v>2621</v>
      </c>
      <c r="G13" s="13"/>
      <c r="H13" s="1266">
        <f t="shared" si="0"/>
        <v>2020</v>
      </c>
      <c r="I13" s="1262">
        <f t="shared" si="1"/>
        <v>-658.26666669999997</v>
      </c>
      <c r="J13" s="1262">
        <f t="shared" si="2"/>
        <v>-805.26666669999997</v>
      </c>
    </row>
    <row r="14" spans="1:10" x14ac:dyDescent="0.25">
      <c r="A14" s="1255">
        <v>2021</v>
      </c>
      <c r="B14" s="1262">
        <f>B$13+(B$18-B$13)/5*1</f>
        <v>-988.8</v>
      </c>
      <c r="C14" s="1277" t="s">
        <v>2595</v>
      </c>
      <c r="D14" s="1262">
        <f>D$13+(D$18-D$13)/5*1</f>
        <v>-1165</v>
      </c>
      <c r="E14" s="1277" t="s">
        <v>2595</v>
      </c>
      <c r="F14" s="4"/>
      <c r="G14" s="1257"/>
      <c r="H14" s="1266">
        <f t="shared" si="0"/>
        <v>2021</v>
      </c>
      <c r="I14" s="1262">
        <f t="shared" si="1"/>
        <v>-631.06666669999993</v>
      </c>
      <c r="J14" s="1262">
        <f>D14+$G$3</f>
        <v>-807.26666669999997</v>
      </c>
    </row>
    <row r="15" spans="1:10" x14ac:dyDescent="0.25">
      <c r="A15" s="1255">
        <v>2022</v>
      </c>
      <c r="B15" s="1262">
        <f>B$13+(B$18-B$13)/5*2</f>
        <v>-961.6</v>
      </c>
      <c r="C15" s="1277" t="s">
        <v>2595</v>
      </c>
      <c r="D15" s="1262">
        <f>D$13+(D$18-D$13)/5*2</f>
        <v>-1167</v>
      </c>
      <c r="E15" s="1277" t="s">
        <v>2595</v>
      </c>
      <c r="F15" s="4"/>
      <c r="G15" s="1257"/>
      <c r="H15" s="1266">
        <f t="shared" si="0"/>
        <v>2022</v>
      </c>
      <c r="I15" s="1262">
        <f t="shared" si="1"/>
        <v>-603.8666667</v>
      </c>
      <c r="J15" s="1262">
        <f t="shared" si="2"/>
        <v>-809.26666669999997</v>
      </c>
    </row>
    <row r="16" spans="1:10" x14ac:dyDescent="0.25">
      <c r="A16" s="1255">
        <v>2023</v>
      </c>
      <c r="B16" s="1262">
        <f>B$13+(B$18-B$13)/5*3</f>
        <v>-934.4</v>
      </c>
      <c r="C16" s="1277" t="s">
        <v>2595</v>
      </c>
      <c r="D16" s="1262">
        <f>D$13+(D$18-D$13)/5*3</f>
        <v>-1169</v>
      </c>
      <c r="E16" s="1277" t="s">
        <v>2595</v>
      </c>
      <c r="F16" s="4"/>
      <c r="G16" s="1257"/>
      <c r="H16" s="1266">
        <f t="shared" si="0"/>
        <v>2023</v>
      </c>
      <c r="I16" s="1262">
        <f t="shared" si="1"/>
        <v>-576.66666669999995</v>
      </c>
      <c r="J16" s="1262">
        <f t="shared" si="2"/>
        <v>-811.26666669999997</v>
      </c>
    </row>
    <row r="17" spans="1:10" x14ac:dyDescent="0.25">
      <c r="A17" s="1255">
        <v>2024</v>
      </c>
      <c r="B17" s="1262">
        <f>B$13+(B$18-B$13)/5*4</f>
        <v>-907.2</v>
      </c>
      <c r="C17" s="1277" t="s">
        <v>2595</v>
      </c>
      <c r="D17" s="1262">
        <f>D$13+(D$18-D$13)/5*4</f>
        <v>-1171</v>
      </c>
      <c r="E17" s="1277" t="s">
        <v>2595</v>
      </c>
      <c r="F17" s="4"/>
      <c r="H17" s="1266">
        <f t="shared" si="0"/>
        <v>2024</v>
      </c>
      <c r="I17" s="1262">
        <f t="shared" si="1"/>
        <v>-549.46666670000002</v>
      </c>
      <c r="J17" s="1262">
        <f t="shared" si="2"/>
        <v>-813.26666669999997</v>
      </c>
    </row>
    <row r="18" spans="1:10" x14ac:dyDescent="0.25">
      <c r="A18" s="1255">
        <v>2025</v>
      </c>
      <c r="B18" s="1264">
        <f>28-908</f>
        <v>-880</v>
      </c>
      <c r="C18" s="1263" t="s">
        <v>2621</v>
      </c>
      <c r="D18" s="1264">
        <f>28-1201</f>
        <v>-1173</v>
      </c>
      <c r="E18" s="1263" t="s">
        <v>2621</v>
      </c>
      <c r="F18" s="4"/>
      <c r="H18" s="1266">
        <f t="shared" si="0"/>
        <v>2025</v>
      </c>
      <c r="I18" s="1262">
        <f t="shared" si="1"/>
        <v>-522.26666669999997</v>
      </c>
      <c r="J18" s="1262">
        <f t="shared" si="2"/>
        <v>-815.26666669999997</v>
      </c>
    </row>
    <row r="19" spans="1:10" x14ac:dyDescent="0.25">
      <c r="A19" s="1255">
        <v>2026</v>
      </c>
      <c r="B19" s="1262">
        <f>B$18+(B$23-B$18)/5*1</f>
        <v>-836.2</v>
      </c>
      <c r="C19" s="1277" t="s">
        <v>2595</v>
      </c>
      <c r="D19" s="1262">
        <f>D$18+(D$23-D$18)/5*1</f>
        <v>-1156.4000000000001</v>
      </c>
      <c r="E19" s="1277" t="s">
        <v>2595</v>
      </c>
      <c r="F19" s="4"/>
      <c r="H19" s="1266">
        <f t="shared" si="0"/>
        <v>2026</v>
      </c>
      <c r="I19" s="1262">
        <f t="shared" si="1"/>
        <v>-478.46666670000002</v>
      </c>
      <c r="J19" s="1262">
        <f t="shared" si="2"/>
        <v>-798.66666670000006</v>
      </c>
    </row>
    <row r="20" spans="1:10" x14ac:dyDescent="0.25">
      <c r="A20" s="1255">
        <v>2027</v>
      </c>
      <c r="B20" s="1262">
        <f>B$18+(B$23-B$18)/5*2</f>
        <v>-792.4</v>
      </c>
      <c r="C20" s="1277" t="s">
        <v>2595</v>
      </c>
      <c r="D20" s="1262">
        <f>D$18+(D$23-D$18)/5*2</f>
        <v>-1139.8</v>
      </c>
      <c r="E20" s="1277" t="s">
        <v>2595</v>
      </c>
      <c r="F20" s="4"/>
      <c r="H20" s="1266">
        <f t="shared" si="0"/>
        <v>2027</v>
      </c>
      <c r="I20" s="1262">
        <f t="shared" si="1"/>
        <v>-434.66666669999995</v>
      </c>
      <c r="J20" s="1262">
        <f t="shared" si="2"/>
        <v>-782.06666669999993</v>
      </c>
    </row>
    <row r="21" spans="1:10" x14ac:dyDescent="0.25">
      <c r="A21" s="1255">
        <v>2028</v>
      </c>
      <c r="B21" s="1262">
        <f>B$18+(B$23-B$18)/5*3</f>
        <v>-748.6</v>
      </c>
      <c r="C21" s="1277" t="s">
        <v>2595</v>
      </c>
      <c r="D21" s="1262">
        <f>D$18+(D$23-D$18)/5*3</f>
        <v>-1123.2</v>
      </c>
      <c r="E21" s="1277" t="s">
        <v>2595</v>
      </c>
      <c r="F21" s="4"/>
      <c r="H21" s="1266">
        <f t="shared" si="0"/>
        <v>2028</v>
      </c>
      <c r="I21" s="1262">
        <f t="shared" si="1"/>
        <v>-390.8666667</v>
      </c>
      <c r="J21" s="1262">
        <f t="shared" si="2"/>
        <v>-765.46666670000002</v>
      </c>
    </row>
    <row r="22" spans="1:10" x14ac:dyDescent="0.25">
      <c r="A22" s="1255">
        <v>2029</v>
      </c>
      <c r="B22" s="1262">
        <f>B$18+(B$23-B$18)/5*4</f>
        <v>-704.8</v>
      </c>
      <c r="C22" s="1277" t="s">
        <v>2595</v>
      </c>
      <c r="D22" s="1262">
        <f>D$18+(D$23-D$18)/5*4</f>
        <v>-1106.5999999999999</v>
      </c>
      <c r="E22" s="1277" t="s">
        <v>2595</v>
      </c>
      <c r="F22" s="4"/>
      <c r="H22" s="1266">
        <f t="shared" si="0"/>
        <v>2029</v>
      </c>
      <c r="I22" s="1262">
        <f t="shared" si="1"/>
        <v>-347.06666669999993</v>
      </c>
      <c r="J22" s="1262">
        <f t="shared" si="2"/>
        <v>-748.86666669999988</v>
      </c>
    </row>
    <row r="23" spans="1:10" x14ac:dyDescent="0.25">
      <c r="A23" s="1255">
        <v>2030</v>
      </c>
      <c r="B23" s="1264">
        <f>28-689</f>
        <v>-661</v>
      </c>
      <c r="C23" s="1263" t="s">
        <v>2621</v>
      </c>
      <c r="D23" s="1264">
        <f>28-1118</f>
        <v>-1090</v>
      </c>
      <c r="E23" s="1263" t="s">
        <v>2621</v>
      </c>
      <c r="F23" s="4"/>
      <c r="H23" s="1266">
        <f t="shared" si="0"/>
        <v>2030</v>
      </c>
      <c r="I23" s="1262">
        <f t="shared" si="1"/>
        <v>-303.26666669999997</v>
      </c>
      <c r="J23" s="1262">
        <f t="shared" si="2"/>
        <v>-732.26666669999997</v>
      </c>
    </row>
    <row r="24" spans="1:10" x14ac:dyDescent="0.25">
      <c r="B24" s="1262"/>
      <c r="C24" s="1262"/>
      <c r="D24" s="1262"/>
      <c r="E24" s="4"/>
      <c r="F24" s="4"/>
    </row>
    <row r="25" spans="1:10" x14ac:dyDescent="0.25">
      <c r="B25" s="1257"/>
      <c r="C25" s="1257"/>
      <c r="D25" s="1257"/>
    </row>
  </sheetData>
  <mergeCells count="1">
    <mergeCell ref="G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7"/>
  <sheetViews>
    <sheetView workbookViewId="0"/>
  </sheetViews>
  <sheetFormatPr defaultRowHeight="15" x14ac:dyDescent="0.25"/>
  <cols>
    <col min="1" max="1" width="28.5703125" customWidth="1"/>
    <col min="2" max="2" width="82.28515625" style="288" customWidth="1"/>
  </cols>
  <sheetData>
    <row r="1" spans="1:2" x14ac:dyDescent="0.25">
      <c r="A1" s="1152" t="s">
        <v>2456</v>
      </c>
    </row>
    <row r="2" spans="1:2" x14ac:dyDescent="0.25">
      <c r="A2" s="1151"/>
    </row>
    <row r="3" spans="1:2" ht="30" x14ac:dyDescent="0.25">
      <c r="A3" s="1151" t="s">
        <v>2457</v>
      </c>
      <c r="B3" s="1153" t="s">
        <v>2458</v>
      </c>
    </row>
    <row r="4" spans="1:2" x14ac:dyDescent="0.25">
      <c r="A4" s="1151"/>
    </row>
    <row r="5" spans="1:2" x14ac:dyDescent="0.25">
      <c r="A5" s="1151" t="s">
        <v>2459</v>
      </c>
      <c r="B5" s="288" t="s">
        <v>2460</v>
      </c>
    </row>
    <row r="6" spans="1:2" ht="30" x14ac:dyDescent="0.25">
      <c r="A6" s="1151" t="s">
        <v>2461</v>
      </c>
      <c r="B6" s="1153" t="s">
        <v>2462</v>
      </c>
    </row>
    <row r="7" spans="1:2" x14ac:dyDescent="0.25">
      <c r="A7" s="1151"/>
    </row>
    <row r="8" spans="1:2" ht="45" x14ac:dyDescent="0.25">
      <c r="A8" s="1151" t="s">
        <v>2463</v>
      </c>
      <c r="B8" s="1153" t="s">
        <v>2464</v>
      </c>
    </row>
    <row r="9" spans="1:2" ht="30" x14ac:dyDescent="0.25">
      <c r="A9" s="1151" t="s">
        <v>2465</v>
      </c>
      <c r="B9" s="1153" t="s">
        <v>2466</v>
      </c>
    </row>
    <row r="10" spans="1:2" x14ac:dyDescent="0.25">
      <c r="A10" s="1151"/>
    </row>
    <row r="11" spans="1:2" x14ac:dyDescent="0.25">
      <c r="A11" s="1151" t="s">
        <v>2467</v>
      </c>
    </row>
    <row r="12" spans="1:2" ht="30" x14ac:dyDescent="0.25">
      <c r="A12" s="1151"/>
      <c r="B12" s="1153" t="s">
        <v>2468</v>
      </c>
    </row>
    <row r="13" spans="1:2" ht="45" x14ac:dyDescent="0.25">
      <c r="A13" s="1151" t="s">
        <v>2469</v>
      </c>
      <c r="B13" s="1153" t="s">
        <v>2470</v>
      </c>
    </row>
    <row r="14" spans="1:2" x14ac:dyDescent="0.25">
      <c r="A14" s="1151"/>
    </row>
    <row r="15" spans="1:2" ht="30" x14ac:dyDescent="0.25">
      <c r="A15" s="1151" t="s">
        <v>2471</v>
      </c>
      <c r="B15" s="1153" t="s">
        <v>2472</v>
      </c>
    </row>
    <row r="16" spans="1:2" x14ac:dyDescent="0.25">
      <c r="A16" s="1151" t="s">
        <v>2473</v>
      </c>
    </row>
    <row r="17" spans="1:2" ht="60" x14ac:dyDescent="0.25">
      <c r="A17" s="1151"/>
      <c r="B17" s="1153" t="s">
        <v>2474</v>
      </c>
    </row>
    <row r="18" spans="1:2" s="534" customFormat="1" x14ac:dyDescent="0.25">
      <c r="A18" s="1151"/>
      <c r="B18" s="1153"/>
    </row>
    <row r="19" spans="1:2" x14ac:dyDescent="0.25">
      <c r="A19" s="1151" t="s">
        <v>2475</v>
      </c>
      <c r="B19" s="288" t="s">
        <v>2476</v>
      </c>
    </row>
    <row r="20" spans="1:2" ht="30" x14ac:dyDescent="0.25">
      <c r="A20" s="1151" t="s">
        <v>2477</v>
      </c>
      <c r="B20" s="1153" t="s">
        <v>2478</v>
      </c>
    </row>
    <row r="21" spans="1:2" ht="30" x14ac:dyDescent="0.25">
      <c r="A21" s="1151" t="s">
        <v>2479</v>
      </c>
      <c r="B21" s="1153" t="s">
        <v>2480</v>
      </c>
    </row>
    <row r="22" spans="1:2" x14ac:dyDescent="0.25">
      <c r="A22" s="1151"/>
    </row>
    <row r="23" spans="1:2" ht="30" x14ac:dyDescent="0.25">
      <c r="A23" s="1151" t="s">
        <v>2481</v>
      </c>
      <c r="B23" s="1153" t="s">
        <v>2482</v>
      </c>
    </row>
    <row r="24" spans="1:2" x14ac:dyDescent="0.25">
      <c r="A24" s="1151" t="s">
        <v>2477</v>
      </c>
      <c r="B24" s="1153" t="s">
        <v>2483</v>
      </c>
    </row>
    <row r="25" spans="1:2" x14ac:dyDescent="0.25">
      <c r="A25" s="1151"/>
    </row>
    <row r="26" spans="1:2" x14ac:dyDescent="0.25">
      <c r="A26" s="1151" t="s">
        <v>2484</v>
      </c>
      <c r="B26" s="1153" t="s">
        <v>2485</v>
      </c>
    </row>
    <row r="27" spans="1:2" ht="30" x14ac:dyDescent="0.25">
      <c r="A27" s="1151" t="s">
        <v>2486</v>
      </c>
      <c r="B27" s="1153" t="s">
        <v>2487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C17"/>
  <sheetViews>
    <sheetView workbookViewId="0"/>
  </sheetViews>
  <sheetFormatPr defaultRowHeight="15" x14ac:dyDescent="0.25"/>
  <cols>
    <col min="1" max="1" width="3" bestFit="1" customWidth="1"/>
    <col min="2" max="2" width="17.85546875" bestFit="1" customWidth="1"/>
    <col min="3" max="3" width="86" bestFit="1" customWidth="1"/>
  </cols>
  <sheetData>
    <row r="1" spans="1:3" x14ac:dyDescent="0.25">
      <c r="B1" s="536" t="s">
        <v>37</v>
      </c>
      <c r="C1" s="8" t="s">
        <v>36</v>
      </c>
    </row>
    <row r="2" spans="1:3" x14ac:dyDescent="0.25">
      <c r="A2">
        <v>1</v>
      </c>
      <c r="B2" s="5" t="s">
        <v>12</v>
      </c>
      <c r="C2" s="8" t="s">
        <v>38</v>
      </c>
    </row>
    <row r="3" spans="1:3" x14ac:dyDescent="0.25">
      <c r="A3">
        <v>2</v>
      </c>
      <c r="B3" s="5" t="s">
        <v>7</v>
      </c>
      <c r="C3" s="8" t="s">
        <v>39</v>
      </c>
    </row>
    <row r="4" spans="1:3" x14ac:dyDescent="0.25">
      <c r="A4">
        <v>3</v>
      </c>
      <c r="B4" s="5" t="s">
        <v>11</v>
      </c>
      <c r="C4" s="8" t="s">
        <v>40</v>
      </c>
    </row>
    <row r="5" spans="1:3" x14ac:dyDescent="0.25">
      <c r="A5">
        <v>4</v>
      </c>
      <c r="B5" s="5" t="s">
        <v>13</v>
      </c>
      <c r="C5" s="8" t="s">
        <v>41</v>
      </c>
    </row>
    <row r="6" spans="1:3" x14ac:dyDescent="0.25">
      <c r="A6">
        <v>5</v>
      </c>
      <c r="B6" s="5" t="s">
        <v>14</v>
      </c>
      <c r="C6" s="8" t="s">
        <v>42</v>
      </c>
    </row>
    <row r="7" spans="1:3" x14ac:dyDescent="0.25">
      <c r="A7">
        <v>6</v>
      </c>
      <c r="B7" s="5" t="s">
        <v>15</v>
      </c>
      <c r="C7" s="8" t="s">
        <v>43</v>
      </c>
    </row>
    <row r="8" spans="1:3" x14ac:dyDescent="0.25">
      <c r="A8">
        <v>7</v>
      </c>
      <c r="B8" s="5" t="s">
        <v>16</v>
      </c>
      <c r="C8" s="8" t="s">
        <v>44</v>
      </c>
    </row>
    <row r="9" spans="1:3" x14ac:dyDescent="0.25">
      <c r="A9">
        <v>8</v>
      </c>
      <c r="B9" s="5" t="s">
        <v>17</v>
      </c>
      <c r="C9" s="8" t="s">
        <v>45</v>
      </c>
    </row>
    <row r="10" spans="1:3" x14ac:dyDescent="0.25">
      <c r="A10">
        <v>9</v>
      </c>
      <c r="B10" s="5" t="s">
        <v>0</v>
      </c>
      <c r="C10" s="8" t="s">
        <v>46</v>
      </c>
    </row>
    <row r="11" spans="1:3" x14ac:dyDescent="0.25">
      <c r="A11">
        <v>10</v>
      </c>
      <c r="B11" s="5" t="s">
        <v>18</v>
      </c>
      <c r="C11" s="8" t="s">
        <v>47</v>
      </c>
    </row>
    <row r="12" spans="1:3" x14ac:dyDescent="0.25">
      <c r="A12">
        <v>11</v>
      </c>
      <c r="B12" s="5" t="s">
        <v>4</v>
      </c>
      <c r="C12" s="8" t="s">
        <v>48</v>
      </c>
    </row>
    <row r="13" spans="1:3" x14ac:dyDescent="0.25">
      <c r="A13">
        <v>12</v>
      </c>
      <c r="B13" s="5" t="s">
        <v>6</v>
      </c>
      <c r="C13" s="8" t="s">
        <v>49</v>
      </c>
    </row>
    <row r="14" spans="1:3" x14ac:dyDescent="0.25">
      <c r="A14">
        <v>13</v>
      </c>
      <c r="B14" s="5" t="s">
        <v>19</v>
      </c>
      <c r="C14" s="8" t="s">
        <v>50</v>
      </c>
    </row>
    <row r="15" spans="1:3" x14ac:dyDescent="0.25">
      <c r="A15">
        <v>14</v>
      </c>
      <c r="B15" s="5" t="s">
        <v>20</v>
      </c>
      <c r="C15" s="8" t="s">
        <v>51</v>
      </c>
    </row>
    <row r="16" spans="1:3" x14ac:dyDescent="0.25">
      <c r="A16">
        <v>15</v>
      </c>
      <c r="B16" s="5" t="s">
        <v>21</v>
      </c>
      <c r="C16" s="8" t="s">
        <v>52</v>
      </c>
    </row>
    <row r="17" spans="1:3" x14ac:dyDescent="0.25">
      <c r="A17">
        <v>16</v>
      </c>
      <c r="B17" s="5" t="s">
        <v>22</v>
      </c>
      <c r="C17" s="8" t="s">
        <v>53</v>
      </c>
    </row>
  </sheetData>
  <hyperlinks>
    <hyperlink ref="C1" r:id="rId1" xr:uid="{00000000-0004-0000-0400-000000000000}"/>
    <hyperlink ref="C2" r:id="rId2" xr:uid="{00000000-0004-0000-0400-000001000000}"/>
    <hyperlink ref="C3" r:id="rId3" xr:uid="{00000000-0004-0000-0400-000002000000}"/>
    <hyperlink ref="C4" r:id="rId4" xr:uid="{00000000-0004-0000-0400-000003000000}"/>
    <hyperlink ref="C5" r:id="rId5" xr:uid="{00000000-0004-0000-0400-000004000000}"/>
    <hyperlink ref="C6" r:id="rId6" xr:uid="{00000000-0004-0000-0400-000005000000}"/>
    <hyperlink ref="C7" r:id="rId7" xr:uid="{00000000-0004-0000-0400-000006000000}"/>
    <hyperlink ref="C8" r:id="rId8" xr:uid="{00000000-0004-0000-0400-000007000000}"/>
    <hyperlink ref="C9" r:id="rId9" xr:uid="{00000000-0004-0000-0400-000008000000}"/>
    <hyperlink ref="C10" r:id="rId10" xr:uid="{00000000-0004-0000-0400-000009000000}"/>
    <hyperlink ref="C11" r:id="rId11" xr:uid="{00000000-0004-0000-0400-00000A000000}"/>
    <hyperlink ref="C12" r:id="rId12" xr:uid="{00000000-0004-0000-0400-00000B000000}"/>
    <hyperlink ref="C13" r:id="rId13" xr:uid="{00000000-0004-0000-0400-00000C000000}"/>
    <hyperlink ref="C14" r:id="rId14" xr:uid="{00000000-0004-0000-0400-00000D000000}"/>
    <hyperlink ref="C15" r:id="rId15" xr:uid="{00000000-0004-0000-0400-00000E000000}"/>
    <hyperlink ref="C16" r:id="rId16" xr:uid="{00000000-0004-0000-0400-00000F000000}"/>
    <hyperlink ref="C17" r:id="rId17" xr:uid="{00000000-0004-0000-0400-000010000000}"/>
  </hyperlinks>
  <pageMargins left="0.7" right="0.7" top="0.75" bottom="0.75" header="0.3" footer="0.3"/>
  <pageSetup paperSize="9" orientation="portrait"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
  <sheetViews>
    <sheetView workbookViewId="0">
      <selection activeCell="L27" sqref="L27"/>
    </sheetView>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71"/>
  <sheetViews>
    <sheetView zoomScale="70" zoomScaleNormal="70" workbookViewId="0">
      <selection activeCell="E81" sqref="E81"/>
    </sheetView>
  </sheetViews>
  <sheetFormatPr defaultColWidth="9.140625" defaultRowHeight="15" outlineLevelRow="1" x14ac:dyDescent="0.25"/>
  <cols>
    <col min="1" max="1" width="14.7109375" style="534" customWidth="1"/>
    <col min="2" max="2" width="36.28515625" style="3" customWidth="1"/>
    <col min="3" max="3" width="40.42578125" style="3" customWidth="1"/>
    <col min="4" max="4" width="95" customWidth="1"/>
    <col min="5" max="5" width="20.5703125" customWidth="1"/>
    <col min="6" max="6" width="53.7109375" customWidth="1"/>
    <col min="7" max="7" width="34.7109375" style="832" customWidth="1"/>
    <col min="8" max="8" width="16.5703125" style="30" customWidth="1"/>
    <col min="9" max="9" width="13" style="30" customWidth="1"/>
    <col min="10" max="10" width="42.85546875" customWidth="1"/>
    <col min="11" max="11" width="39.42578125" style="832" customWidth="1"/>
    <col min="12" max="12" width="140" style="791" customWidth="1"/>
    <col min="13" max="13" width="61.42578125" style="791" customWidth="1"/>
    <col min="14" max="14" width="59.140625" style="669" customWidth="1"/>
  </cols>
  <sheetData>
    <row r="1" spans="1:12" ht="20.25" x14ac:dyDescent="0.25">
      <c r="B1" s="14" t="s">
        <v>333</v>
      </c>
      <c r="C1"/>
    </row>
    <row r="2" spans="1:12" ht="20.25" x14ac:dyDescent="0.25">
      <c r="B2" s="14"/>
      <c r="C2"/>
    </row>
    <row r="3" spans="1:12" ht="15.75" x14ac:dyDescent="0.25">
      <c r="B3" s="32" t="s">
        <v>2513</v>
      </c>
      <c r="C3" s="33"/>
    </row>
    <row r="4" spans="1:12" ht="15.75" x14ac:dyDescent="0.25">
      <c r="B4" s="34" t="s">
        <v>691</v>
      </c>
      <c r="C4" s="35"/>
    </row>
    <row r="5" spans="1:12" ht="15.75" x14ac:dyDescent="0.25">
      <c r="B5" s="36" t="s">
        <v>692</v>
      </c>
      <c r="C5" s="37"/>
    </row>
    <row r="6" spans="1:12" ht="31.5" x14ac:dyDescent="0.25">
      <c r="B6" s="38" t="s">
        <v>693</v>
      </c>
      <c r="C6" s="39"/>
    </row>
    <row r="7" spans="1:12" x14ac:dyDescent="0.25">
      <c r="B7" s="1287" t="s">
        <v>2633</v>
      </c>
      <c r="C7" s="1288"/>
    </row>
    <row r="8" spans="1:12" x14ac:dyDescent="0.25">
      <c r="B8" s="944"/>
      <c r="C8" s="941" t="s">
        <v>334</v>
      </c>
      <c r="D8" s="941" t="s">
        <v>335</v>
      </c>
      <c r="E8" s="942" t="s">
        <v>336</v>
      </c>
      <c r="F8" s="941" t="s">
        <v>1419</v>
      </c>
      <c r="G8" s="943" t="s">
        <v>337</v>
      </c>
      <c r="H8" s="943" t="s">
        <v>2</v>
      </c>
      <c r="I8" s="943" t="s">
        <v>338</v>
      </c>
      <c r="J8" s="941" t="s">
        <v>1418</v>
      </c>
      <c r="K8" s="943" t="s">
        <v>2201</v>
      </c>
    </row>
    <row r="9" spans="1:12" ht="23.25" x14ac:dyDescent="0.35">
      <c r="A9" s="536" t="s">
        <v>2509</v>
      </c>
      <c r="B9" s="336" t="s">
        <v>12</v>
      </c>
      <c r="C9" s="537" t="s">
        <v>334</v>
      </c>
      <c r="D9" s="537" t="s">
        <v>335</v>
      </c>
      <c r="E9" s="540" t="s">
        <v>336</v>
      </c>
      <c r="F9" s="537" t="s">
        <v>1419</v>
      </c>
      <c r="G9" s="858" t="s">
        <v>337</v>
      </c>
      <c r="H9" s="858" t="s">
        <v>2</v>
      </c>
      <c r="I9" s="833" t="s">
        <v>338</v>
      </c>
      <c r="J9" s="538" t="s">
        <v>1418</v>
      </c>
      <c r="K9" s="833" t="s">
        <v>2201</v>
      </c>
      <c r="L9" s="798" t="s">
        <v>690</v>
      </c>
    </row>
    <row r="10" spans="1:12" hidden="1" outlineLevel="1" x14ac:dyDescent="0.25">
      <c r="A10" s="534" t="str">
        <f>IFERROR(IF(MATCH($B$9&amp;"-"&amp;$B10,'Protocol reference (numerical)'!$A$3:$A$217,0),"yes","x"),"no")</f>
        <v>no</v>
      </c>
      <c r="B10" s="1167" t="s">
        <v>1743</v>
      </c>
      <c r="C10" s="337" t="s">
        <v>1744</v>
      </c>
      <c r="D10" s="338" t="s">
        <v>1745</v>
      </c>
      <c r="E10" s="355" t="s">
        <v>784</v>
      </c>
      <c r="F10" s="355" t="s">
        <v>1746</v>
      </c>
      <c r="G10" s="899">
        <v>0.15</v>
      </c>
      <c r="H10" s="429" t="s">
        <v>374</v>
      </c>
      <c r="I10" s="859">
        <v>2030</v>
      </c>
      <c r="J10" s="347" t="s">
        <v>54</v>
      </c>
      <c r="K10" s="663">
        <v>0.15</v>
      </c>
    </row>
    <row r="11" spans="1:12" hidden="1" outlineLevel="1" x14ac:dyDescent="0.25">
      <c r="A11" s="534" t="str">
        <f>IFERROR(IF(MATCH($B$9&amp;"-"&amp;$B11,'Protocol reference (numerical)'!$A$3:$A$217,0),"yes","x"),"no")</f>
        <v>no</v>
      </c>
      <c r="B11" s="1168" t="s">
        <v>1747</v>
      </c>
      <c r="C11" s="345" t="s">
        <v>1748</v>
      </c>
      <c r="D11" s="354" t="s">
        <v>1745</v>
      </c>
      <c r="E11" s="339" t="s">
        <v>784</v>
      </c>
      <c r="F11" s="339" t="s">
        <v>1746</v>
      </c>
      <c r="G11" s="824">
        <v>0.3</v>
      </c>
      <c r="H11" s="860" t="s">
        <v>374</v>
      </c>
      <c r="I11" s="861">
        <v>2030</v>
      </c>
      <c r="J11" s="347" t="s">
        <v>54</v>
      </c>
      <c r="K11" s="834">
        <v>0.3</v>
      </c>
    </row>
    <row r="12" spans="1:12" ht="45" hidden="1" outlineLevel="1" x14ac:dyDescent="0.25">
      <c r="A12" s="534" t="str">
        <f>IFERROR(IF(MATCH($B$9&amp;"-"&amp;$B12,'Protocol reference (numerical)'!$A$3:$A$217,0),"yes","x"),"no")</f>
        <v>no</v>
      </c>
      <c r="B12" s="422" t="s">
        <v>3</v>
      </c>
      <c r="C12" s="346" t="s">
        <v>694</v>
      </c>
      <c r="D12" s="348" t="s">
        <v>695</v>
      </c>
      <c r="E12" s="349" t="s">
        <v>696</v>
      </c>
      <c r="F12" s="349" t="s">
        <v>697</v>
      </c>
      <c r="G12" s="825" t="s">
        <v>698</v>
      </c>
      <c r="H12" s="523">
        <v>2006</v>
      </c>
      <c r="I12" s="527"/>
      <c r="J12" s="344" t="s">
        <v>1416</v>
      </c>
      <c r="K12" s="626"/>
      <c r="L12" s="791" t="s">
        <v>699</v>
      </c>
    </row>
    <row r="13" spans="1:12" ht="165" hidden="1" outlineLevel="1" x14ac:dyDescent="0.25">
      <c r="A13" s="534" t="str">
        <f>IFERROR(IF(MATCH($B$9&amp;"-"&amp;$B13,'Protocol reference (numerical)'!$A$3:$A$217,0),"yes","x"),"no")</f>
        <v>yes</v>
      </c>
      <c r="B13" s="422" t="s">
        <v>700</v>
      </c>
      <c r="C13" s="346" t="s">
        <v>701</v>
      </c>
      <c r="D13" s="348" t="s">
        <v>695</v>
      </c>
      <c r="E13" s="349" t="s">
        <v>696</v>
      </c>
      <c r="F13" s="349" t="s">
        <v>702</v>
      </c>
      <c r="G13" s="825">
        <v>0.12</v>
      </c>
      <c r="H13" s="523" t="s">
        <v>703</v>
      </c>
      <c r="I13" s="862"/>
      <c r="J13" s="344" t="s">
        <v>955</v>
      </c>
      <c r="K13" s="628" t="s">
        <v>1749</v>
      </c>
      <c r="L13" s="791" t="s">
        <v>1521</v>
      </c>
    </row>
    <row r="14" spans="1:12" hidden="1" outlineLevel="1" x14ac:dyDescent="0.25">
      <c r="A14" s="534" t="str">
        <f>IFERROR(IF(MATCH($B$9&amp;"-"&amp;$B14,'Protocol reference (numerical)'!$A$3:$A$217,0),"yes","x"),"no")</f>
        <v>no</v>
      </c>
      <c r="B14" s="422" t="s">
        <v>34</v>
      </c>
      <c r="C14" s="346" t="s">
        <v>704</v>
      </c>
      <c r="D14" s="348" t="s">
        <v>705</v>
      </c>
      <c r="E14" s="349" t="s">
        <v>696</v>
      </c>
      <c r="F14" s="349" t="s">
        <v>706</v>
      </c>
      <c r="G14" s="825">
        <v>0.08</v>
      </c>
      <c r="H14" s="523"/>
      <c r="I14" s="527">
        <v>2017</v>
      </c>
      <c r="J14" s="350" t="s">
        <v>1405</v>
      </c>
      <c r="K14" s="628">
        <v>0.08</v>
      </c>
      <c r="L14" s="791" t="s">
        <v>707</v>
      </c>
    </row>
    <row r="15" spans="1:12" hidden="1" outlineLevel="1" x14ac:dyDescent="0.25">
      <c r="A15" s="534" t="str">
        <f>IFERROR(IF(MATCH($B$9&amp;"-"&amp;$B15,'Protocol reference (numerical)'!$A$3:$A$217,0),"yes","x"),"no")</f>
        <v>yes</v>
      </c>
      <c r="B15" s="422" t="s">
        <v>708</v>
      </c>
      <c r="C15" s="346" t="s">
        <v>704</v>
      </c>
      <c r="D15" s="348" t="s">
        <v>705</v>
      </c>
      <c r="E15" s="349" t="s">
        <v>696</v>
      </c>
      <c r="F15" s="349" t="s">
        <v>706</v>
      </c>
      <c r="G15" s="825">
        <v>0.12</v>
      </c>
      <c r="H15" s="523"/>
      <c r="I15" s="527">
        <v>2019</v>
      </c>
      <c r="J15" s="350" t="s">
        <v>1405</v>
      </c>
      <c r="K15" s="628">
        <v>0.12</v>
      </c>
      <c r="L15" s="791" t="s">
        <v>707</v>
      </c>
    </row>
    <row r="16" spans="1:12" hidden="1" outlineLevel="1" x14ac:dyDescent="0.25">
      <c r="A16" s="534" t="str">
        <f>IFERROR(IF(MATCH($B$9&amp;"-"&amp;$B16,'Protocol reference (numerical)'!$A$3:$A$217,0),"yes","x"),"no")</f>
        <v>yes</v>
      </c>
      <c r="B16" s="422" t="s">
        <v>709</v>
      </c>
      <c r="C16" s="346" t="s">
        <v>704</v>
      </c>
      <c r="D16" s="348" t="s">
        <v>705</v>
      </c>
      <c r="E16" s="349" t="s">
        <v>696</v>
      </c>
      <c r="F16" s="349" t="s">
        <v>706</v>
      </c>
      <c r="G16" s="825">
        <v>0.16</v>
      </c>
      <c r="H16" s="523"/>
      <c r="I16" s="527">
        <v>2021</v>
      </c>
      <c r="J16" s="350" t="s">
        <v>1405</v>
      </c>
      <c r="K16" s="628">
        <v>0.16</v>
      </c>
      <c r="L16" s="791" t="s">
        <v>707</v>
      </c>
    </row>
    <row r="17" spans="1:14" hidden="1" outlineLevel="1" x14ac:dyDescent="0.25">
      <c r="A17" s="534" t="str">
        <f>IFERROR(IF(MATCH($B$9&amp;"-"&amp;$B17,'Protocol reference (numerical)'!$A$3:$A$217,0),"yes","x"),"no")</f>
        <v>yes</v>
      </c>
      <c r="B17" s="422" t="s">
        <v>710</v>
      </c>
      <c r="C17" s="346" t="s">
        <v>704</v>
      </c>
      <c r="D17" s="348" t="s">
        <v>705</v>
      </c>
      <c r="E17" s="349" t="s">
        <v>696</v>
      </c>
      <c r="F17" s="349" t="s">
        <v>706</v>
      </c>
      <c r="G17" s="825">
        <v>0.18</v>
      </c>
      <c r="H17" s="523"/>
      <c r="I17" s="527">
        <v>2023</v>
      </c>
      <c r="J17" s="350" t="s">
        <v>1405</v>
      </c>
      <c r="K17" s="628">
        <v>0.18</v>
      </c>
      <c r="L17" s="791" t="s">
        <v>707</v>
      </c>
    </row>
    <row r="18" spans="1:14" hidden="1" outlineLevel="1" x14ac:dyDescent="0.25">
      <c r="A18" s="534" t="str">
        <f>IFERROR(IF(MATCH($B$9&amp;"-"&amp;$B18,'Protocol reference (numerical)'!$A$3:$A$217,0),"yes","x"),"no")</f>
        <v>yes</v>
      </c>
      <c r="B18" s="422" t="s">
        <v>711</v>
      </c>
      <c r="C18" s="346" t="s">
        <v>704</v>
      </c>
      <c r="D18" s="348" t="s">
        <v>705</v>
      </c>
      <c r="E18" s="349" t="s">
        <v>696</v>
      </c>
      <c r="F18" s="349" t="s">
        <v>706</v>
      </c>
      <c r="G18" s="825">
        <v>0.2</v>
      </c>
      <c r="H18" s="523"/>
      <c r="I18" s="527">
        <v>2025</v>
      </c>
      <c r="J18" s="350" t="s">
        <v>1405</v>
      </c>
      <c r="K18" s="628">
        <v>0.2</v>
      </c>
      <c r="L18" s="791" t="s">
        <v>707</v>
      </c>
    </row>
    <row r="19" spans="1:14" ht="30" hidden="1" outlineLevel="1" x14ac:dyDescent="0.25">
      <c r="A19" s="534" t="str">
        <f>IFERROR(IF(MATCH($B$9&amp;"-"&amp;$B19,'Protocol reference (numerical)'!$A$3:$A$217,0),"yes","x"),"no")</f>
        <v>yes</v>
      </c>
      <c r="B19" s="422" t="s">
        <v>712</v>
      </c>
      <c r="C19" s="346" t="s">
        <v>713</v>
      </c>
      <c r="D19" s="348" t="s">
        <v>705</v>
      </c>
      <c r="E19" s="349" t="s">
        <v>696</v>
      </c>
      <c r="F19" s="349" t="s">
        <v>2121</v>
      </c>
      <c r="G19" s="813" t="s">
        <v>714</v>
      </c>
      <c r="H19" s="523"/>
      <c r="I19" s="527"/>
      <c r="J19" s="344" t="s">
        <v>1416</v>
      </c>
      <c r="K19" s="626"/>
      <c r="L19" s="791" t="s">
        <v>715</v>
      </c>
    </row>
    <row r="20" spans="1:14" hidden="1" outlineLevel="1" x14ac:dyDescent="0.25">
      <c r="A20" s="534" t="str">
        <f>IFERROR(IF(MATCH($B$9&amp;"-"&amp;$B20,'Protocol reference (numerical)'!$A$3:$A$217,0),"yes","x"),"no")</f>
        <v>no</v>
      </c>
      <c r="B20" s="422" t="s">
        <v>716</v>
      </c>
      <c r="C20" s="346" t="s">
        <v>717</v>
      </c>
      <c r="D20" s="348" t="s">
        <v>705</v>
      </c>
      <c r="E20" s="349" t="s">
        <v>696</v>
      </c>
      <c r="F20" s="349" t="s">
        <v>718</v>
      </c>
      <c r="G20" s="813" t="s">
        <v>719</v>
      </c>
      <c r="H20" s="523"/>
      <c r="I20" s="527" t="s">
        <v>720</v>
      </c>
      <c r="J20" s="344" t="s">
        <v>1416</v>
      </c>
      <c r="K20" s="626"/>
    </row>
    <row r="21" spans="1:14" hidden="1" outlineLevel="1" x14ac:dyDescent="0.25">
      <c r="A21" s="534" t="str">
        <f>IFERROR(IF(MATCH($B$9&amp;"-"&amp;$B21,'Protocol reference (numerical)'!$A$3:$A$217,0),"yes","x"),"no")</f>
        <v>no</v>
      </c>
      <c r="B21" s="422" t="s">
        <v>721</v>
      </c>
      <c r="C21" s="346" t="s">
        <v>722</v>
      </c>
      <c r="D21" s="348" t="s">
        <v>705</v>
      </c>
      <c r="E21" s="349" t="s">
        <v>696</v>
      </c>
      <c r="F21" s="349" t="s">
        <v>723</v>
      </c>
      <c r="G21" s="813" t="s">
        <v>724</v>
      </c>
      <c r="H21" s="523"/>
      <c r="I21" s="527" t="s">
        <v>720</v>
      </c>
      <c r="J21" s="344" t="s">
        <v>1416</v>
      </c>
      <c r="K21" s="626"/>
    </row>
    <row r="22" spans="1:14" ht="135" hidden="1" outlineLevel="1" x14ac:dyDescent="0.25">
      <c r="A22" s="534" t="str">
        <f>IFERROR(IF(MATCH($B$9&amp;"-"&amp;$B22,'Protocol reference (numerical)'!$A$3:$A$217,0),"yes","x"),"no")</f>
        <v>no</v>
      </c>
      <c r="B22" s="422" t="s">
        <v>725</v>
      </c>
      <c r="C22" s="346" t="s">
        <v>726</v>
      </c>
      <c r="D22" s="348" t="s">
        <v>705</v>
      </c>
      <c r="E22" s="349" t="s">
        <v>696</v>
      </c>
      <c r="F22" s="349" t="s">
        <v>727</v>
      </c>
      <c r="G22" s="813" t="s">
        <v>728</v>
      </c>
      <c r="H22" s="523"/>
      <c r="I22" s="527"/>
      <c r="J22" s="344" t="s">
        <v>1416</v>
      </c>
      <c r="K22" s="626"/>
      <c r="L22" s="791" t="s">
        <v>729</v>
      </c>
    </row>
    <row r="23" spans="1:14" hidden="1" outlineLevel="1" x14ac:dyDescent="0.25">
      <c r="A23" s="534" t="str">
        <f>IFERROR(IF(MATCH($B$9&amp;"-"&amp;$B23,'Protocol reference (numerical)'!$A$3:$A$217,0),"yes","x"),"no")</f>
        <v>yes</v>
      </c>
      <c r="B23" s="422" t="s">
        <v>503</v>
      </c>
      <c r="C23" s="346" t="s">
        <v>735</v>
      </c>
      <c r="D23" s="348" t="s">
        <v>736</v>
      </c>
      <c r="E23" s="349" t="s">
        <v>696</v>
      </c>
      <c r="F23" s="349" t="s">
        <v>1523</v>
      </c>
      <c r="G23" s="814" t="s">
        <v>737</v>
      </c>
      <c r="H23" s="523"/>
      <c r="I23" s="527">
        <v>2016</v>
      </c>
      <c r="J23" s="344" t="s">
        <v>1408</v>
      </c>
      <c r="K23" s="626" t="s">
        <v>737</v>
      </c>
    </row>
    <row r="24" spans="1:14" hidden="1" outlineLevel="1" x14ac:dyDescent="0.25">
      <c r="A24" s="534" t="str">
        <f>IFERROR(IF(MATCH($B$9&amp;"-"&amp;$B24,'Protocol reference (numerical)'!$A$3:$A$217,0),"yes","x"),"no")</f>
        <v>yes</v>
      </c>
      <c r="B24" s="422" t="s">
        <v>508</v>
      </c>
      <c r="C24" s="346" t="s">
        <v>738</v>
      </c>
      <c r="D24" s="348" t="s">
        <v>736</v>
      </c>
      <c r="E24" s="349" t="s">
        <v>696</v>
      </c>
      <c r="F24" s="349" t="s">
        <v>1524</v>
      </c>
      <c r="G24" s="814" t="s">
        <v>737</v>
      </c>
      <c r="H24" s="523"/>
      <c r="I24" s="527">
        <v>2016</v>
      </c>
      <c r="J24" s="344" t="s">
        <v>1408</v>
      </c>
      <c r="K24" s="626" t="s">
        <v>737</v>
      </c>
    </row>
    <row r="25" spans="1:14" ht="30" hidden="1" outlineLevel="1" x14ac:dyDescent="0.25">
      <c r="A25" s="534" t="str">
        <f>IFERROR(IF(MATCH($B$9&amp;"-"&amp;$B25,'Protocol reference (numerical)'!$A$3:$A$217,0),"yes","x"),"no")</f>
        <v>no</v>
      </c>
      <c r="B25" s="422" t="s">
        <v>1216</v>
      </c>
      <c r="C25" s="346" t="s">
        <v>733</v>
      </c>
      <c r="D25" s="348" t="s">
        <v>731</v>
      </c>
      <c r="E25" s="349" t="s">
        <v>696</v>
      </c>
      <c r="F25" s="400" t="s">
        <v>734</v>
      </c>
      <c r="G25" s="814">
        <v>0.06</v>
      </c>
      <c r="H25" s="523" t="s">
        <v>374</v>
      </c>
      <c r="I25" s="527">
        <v>2016</v>
      </c>
      <c r="J25" s="344"/>
      <c r="K25" s="649"/>
      <c r="L25" s="791" t="s">
        <v>2202</v>
      </c>
    </row>
    <row r="26" spans="1:14" ht="30" hidden="1" outlineLevel="1" x14ac:dyDescent="0.25">
      <c r="A26" s="534" t="str">
        <f>IFERROR(IF(MATCH($B$9&amp;"-"&amp;$B26,'Protocol reference (numerical)'!$A$3:$A$217,0),"yes","x"),"no")</f>
        <v>no</v>
      </c>
      <c r="B26" s="422" t="s">
        <v>1221</v>
      </c>
      <c r="C26" s="346" t="s">
        <v>733</v>
      </c>
      <c r="D26" s="348" t="s">
        <v>731</v>
      </c>
      <c r="E26" s="349" t="s">
        <v>696</v>
      </c>
      <c r="F26" s="400" t="s">
        <v>734</v>
      </c>
      <c r="G26" s="814" t="s">
        <v>1522</v>
      </c>
      <c r="H26" s="523">
        <v>2007</v>
      </c>
      <c r="I26" s="527">
        <v>2016</v>
      </c>
      <c r="J26" s="344"/>
      <c r="K26" s="649"/>
      <c r="L26" s="791" t="s">
        <v>2202</v>
      </c>
    </row>
    <row r="27" spans="1:14" s="290" customFormat="1" hidden="1" outlineLevel="1" x14ac:dyDescent="0.25">
      <c r="A27" s="534" t="str">
        <f>IFERROR(IF(MATCH($B$9&amp;"-"&amp;$B27,'Protocol reference (numerical)'!$A$3:$A$217,0),"yes","x"),"no")</f>
        <v>no</v>
      </c>
      <c r="B27" s="422">
        <v>8</v>
      </c>
      <c r="C27" s="340" t="s">
        <v>362</v>
      </c>
      <c r="D27" s="341" t="s">
        <v>739</v>
      </c>
      <c r="E27" s="342" t="s">
        <v>696</v>
      </c>
      <c r="F27" s="342" t="s">
        <v>740</v>
      </c>
      <c r="G27" s="144"/>
      <c r="H27" s="863" t="s">
        <v>741</v>
      </c>
      <c r="I27" s="862"/>
      <c r="J27" s="344" t="s">
        <v>1416</v>
      </c>
      <c r="K27" s="835"/>
      <c r="L27" s="791"/>
      <c r="M27" s="791"/>
      <c r="N27" s="669"/>
    </row>
    <row r="28" spans="1:14" s="290" customFormat="1" ht="30" hidden="1" outlineLevel="1" x14ac:dyDescent="0.25">
      <c r="A28" s="534" t="str">
        <f>IFERROR(IF(MATCH($B$9&amp;"-"&amp;$B28,'Protocol reference (numerical)'!$A$3:$A$217,0),"yes","x"),"no")</f>
        <v>no</v>
      </c>
      <c r="B28" s="1169">
        <v>3</v>
      </c>
      <c r="C28" s="352" t="s">
        <v>1681</v>
      </c>
      <c r="D28" s="353" t="s">
        <v>1682</v>
      </c>
      <c r="E28" s="343" t="s">
        <v>696</v>
      </c>
      <c r="F28" s="351" t="s">
        <v>1681</v>
      </c>
      <c r="G28" s="269" t="s">
        <v>1683</v>
      </c>
      <c r="H28" s="864" t="s">
        <v>1684</v>
      </c>
      <c r="I28" s="865"/>
      <c r="J28" s="696" t="s">
        <v>1416</v>
      </c>
      <c r="K28" s="836"/>
      <c r="L28" s="791"/>
      <c r="M28" s="791"/>
      <c r="N28" s="669"/>
    </row>
    <row r="29" spans="1:14" ht="60" hidden="1" outlineLevel="1" x14ac:dyDescent="0.25">
      <c r="A29" s="705" t="str">
        <f>IFERROR(IF(MATCH($B$9&amp;"-"&amp;$B29,'Protocol reference (numerical)'!$A$3:$A$217,0),"yes","x"),"no")</f>
        <v>yes</v>
      </c>
      <c r="B29" s="1170">
        <v>4</v>
      </c>
      <c r="C29" s="695" t="s">
        <v>742</v>
      </c>
      <c r="D29" s="525" t="s">
        <v>743</v>
      </c>
      <c r="E29" s="524" t="s">
        <v>696</v>
      </c>
      <c r="F29" s="524" t="s">
        <v>744</v>
      </c>
      <c r="G29" s="815" t="s">
        <v>745</v>
      </c>
      <c r="H29" s="526"/>
      <c r="I29" s="866"/>
      <c r="J29" s="696" t="s">
        <v>1417</v>
      </c>
      <c r="K29" s="837" t="s">
        <v>1887</v>
      </c>
      <c r="L29" s="791" t="s">
        <v>746</v>
      </c>
    </row>
    <row r="30" spans="1:14" s="534" customFormat="1" ht="30" hidden="1" outlineLevel="1" x14ac:dyDescent="0.25">
      <c r="A30" s="534" t="str">
        <f>IFERROR(IF(MATCH($B$9&amp;"-"&amp;$B30,'Protocol reference (numerical)'!$A$3:$A$217,0),"yes","x"),"no")</f>
        <v>no</v>
      </c>
      <c r="B30" s="1171"/>
      <c r="C30" s="478"/>
      <c r="D30" s="399"/>
      <c r="E30" s="524" t="s">
        <v>696</v>
      </c>
      <c r="F30" s="373"/>
      <c r="G30" s="816"/>
      <c r="H30" s="374"/>
      <c r="I30" s="867"/>
      <c r="J30" s="408" t="s">
        <v>1473</v>
      </c>
      <c r="K30" s="661" t="s">
        <v>1888</v>
      </c>
      <c r="L30" s="791"/>
      <c r="M30" s="791"/>
      <c r="N30" s="669"/>
    </row>
    <row r="31" spans="1:14" s="534" customFormat="1" hidden="1" outlineLevel="1" x14ac:dyDescent="0.25">
      <c r="A31" s="534" t="str">
        <f>IFERROR(IF(MATCH($B$9&amp;"-"&amp;$B31,'Protocol reference (numerical)'!$A$3:$A$217,0),"yes","x"),"no")</f>
        <v>no</v>
      </c>
      <c r="B31" s="1169"/>
      <c r="C31" s="498"/>
      <c r="D31" s="525"/>
      <c r="E31" s="524" t="s">
        <v>784</v>
      </c>
      <c r="F31" s="524"/>
      <c r="G31" s="815"/>
      <c r="H31" s="526"/>
      <c r="I31" s="866"/>
      <c r="J31" s="697" t="s">
        <v>1473</v>
      </c>
      <c r="K31" s="613" t="s">
        <v>1889</v>
      </c>
      <c r="L31" s="791"/>
      <c r="M31" s="791"/>
      <c r="N31" s="669"/>
    </row>
    <row r="32" spans="1:14" s="534" customFormat="1" hidden="1" outlineLevel="1" x14ac:dyDescent="0.25">
      <c r="A32" s="534" t="str">
        <f>IFERROR(IF(MATCH($B$9&amp;"-"&amp;$B32,'Protocol reference (numerical)'!$A$3:$A$217,0),"yes","x"),"no")</f>
        <v>no</v>
      </c>
      <c r="B32" s="1172"/>
      <c r="C32" s="506"/>
      <c r="D32" s="507"/>
      <c r="E32" s="508" t="s">
        <v>784</v>
      </c>
      <c r="F32" s="508"/>
      <c r="G32" s="817"/>
      <c r="H32" s="868"/>
      <c r="I32" s="869"/>
      <c r="J32" s="603" t="s">
        <v>1473</v>
      </c>
      <c r="K32" s="662" t="s">
        <v>1890</v>
      </c>
      <c r="L32" s="791"/>
      <c r="M32" s="791"/>
      <c r="N32" s="669"/>
    </row>
    <row r="33" spans="1:14" collapsed="1" x14ac:dyDescent="0.25">
      <c r="A33" s="534" t="str">
        <f>IFERROR(IF(MATCH($B$9&amp;"-"&amp;$B33,'Protocol reference (numerical)'!$A$3:$A$217,0),"yes","x"),"no")</f>
        <v>no</v>
      </c>
      <c r="B33" s="43"/>
      <c r="C33" s="44"/>
      <c r="D33" s="44"/>
      <c r="E33" s="44"/>
      <c r="F33" s="45"/>
      <c r="G33" s="838"/>
      <c r="H33" s="870"/>
      <c r="I33" s="870"/>
      <c r="J33" s="44"/>
      <c r="K33" s="838"/>
    </row>
    <row r="34" spans="1:14" ht="23.25" x14ac:dyDescent="0.35">
      <c r="B34" s="360" t="s">
        <v>7</v>
      </c>
      <c r="C34" s="358" t="s">
        <v>334</v>
      </c>
      <c r="D34" s="358" t="s">
        <v>335</v>
      </c>
      <c r="E34" s="361" t="s">
        <v>336</v>
      </c>
      <c r="F34" s="358" t="s">
        <v>1419</v>
      </c>
      <c r="G34" s="858" t="s">
        <v>337</v>
      </c>
      <c r="H34" s="858" t="s">
        <v>2</v>
      </c>
      <c r="I34" s="833" t="s">
        <v>338</v>
      </c>
      <c r="J34" s="359" t="s">
        <v>1418</v>
      </c>
      <c r="K34" s="833" t="s">
        <v>2201</v>
      </c>
      <c r="L34" s="798" t="s">
        <v>690</v>
      </c>
    </row>
    <row r="35" spans="1:14" hidden="1" outlineLevel="1" x14ac:dyDescent="0.25">
      <c r="A35" s="534" t="str">
        <f>IFERROR(IF(MATCH($B$34&amp;"-"&amp;$B35,'Protocol reference (numerical)'!$A$3:$A$217,0),"yes","x"),"no")</f>
        <v>no</v>
      </c>
      <c r="B35" s="1167">
        <v>0</v>
      </c>
      <c r="C35" s="362" t="s">
        <v>1750</v>
      </c>
      <c r="D35" s="363" t="s">
        <v>2517</v>
      </c>
      <c r="E35" s="515" t="s">
        <v>784</v>
      </c>
      <c r="F35" s="364" t="s">
        <v>1746</v>
      </c>
      <c r="G35" s="564" t="s">
        <v>1751</v>
      </c>
      <c r="H35" s="522">
        <v>2005</v>
      </c>
      <c r="I35" s="871">
        <v>2030</v>
      </c>
      <c r="J35" s="381" t="s">
        <v>54</v>
      </c>
      <c r="K35" s="606" t="s">
        <v>1751</v>
      </c>
    </row>
    <row r="36" spans="1:14" hidden="1" outlineLevel="1" x14ac:dyDescent="0.25">
      <c r="A36" s="534" t="str">
        <f>IFERROR(IF(MATCH($B$34&amp;"-"&amp;$B36,'Protocol reference (numerical)'!$A$3:$A$217,0),"yes","x"),"no")</f>
        <v>yes</v>
      </c>
      <c r="B36" s="1173" t="s">
        <v>3</v>
      </c>
      <c r="C36" s="367" t="s">
        <v>747</v>
      </c>
      <c r="D36" s="368" t="s">
        <v>748</v>
      </c>
      <c r="E36" s="369" t="s">
        <v>696</v>
      </c>
      <c r="F36" s="369" t="s">
        <v>749</v>
      </c>
      <c r="G36" s="818" t="s">
        <v>750</v>
      </c>
      <c r="H36" s="872"/>
      <c r="I36" s="873">
        <v>2020</v>
      </c>
      <c r="J36" s="379" t="s">
        <v>1405</v>
      </c>
      <c r="K36" s="659">
        <v>0.23499999999999999</v>
      </c>
      <c r="L36" s="791" t="s">
        <v>2203</v>
      </c>
    </row>
    <row r="37" spans="1:14" hidden="1" outlineLevel="1" x14ac:dyDescent="0.25">
      <c r="A37" s="534" t="str">
        <f>IFERROR(IF(MATCH($B$34&amp;"-"&amp;$B37,'Protocol reference (numerical)'!$A$3:$A$217,0),"yes","x"),"no")</f>
        <v>no</v>
      </c>
      <c r="B37" s="422" t="s">
        <v>34</v>
      </c>
      <c r="C37" s="382" t="s">
        <v>752</v>
      </c>
      <c r="D37" s="365" t="s">
        <v>753</v>
      </c>
      <c r="E37" s="366" t="s">
        <v>696</v>
      </c>
      <c r="F37" s="382" t="s">
        <v>1525</v>
      </c>
      <c r="G37" s="830">
        <v>0.1275</v>
      </c>
      <c r="H37" s="523"/>
      <c r="I37" s="527">
        <v>2016</v>
      </c>
      <c r="J37" s="379" t="s">
        <v>1416</v>
      </c>
      <c r="K37" s="626"/>
      <c r="L37" s="791" t="s">
        <v>754</v>
      </c>
    </row>
    <row r="38" spans="1:14" hidden="1" outlineLevel="1" x14ac:dyDescent="0.25">
      <c r="A38" s="534" t="str">
        <f>IFERROR(IF(MATCH($B$34&amp;"-"&amp;$B38,'Protocol reference (numerical)'!$A$3:$A$217,0),"yes","x"),"no")</f>
        <v>no</v>
      </c>
      <c r="B38" s="422" t="s">
        <v>708</v>
      </c>
      <c r="C38" s="382" t="s">
        <v>755</v>
      </c>
      <c r="D38" s="365" t="s">
        <v>753</v>
      </c>
      <c r="E38" s="366" t="s">
        <v>696</v>
      </c>
      <c r="F38" s="382" t="s">
        <v>1526</v>
      </c>
      <c r="G38" s="830">
        <v>9.6799999999999997E-2</v>
      </c>
      <c r="H38" s="523"/>
      <c r="I38" s="527">
        <v>2016</v>
      </c>
      <c r="J38" s="379" t="s">
        <v>1416</v>
      </c>
      <c r="K38" s="626"/>
      <c r="L38" s="791" t="s">
        <v>756</v>
      </c>
    </row>
    <row r="39" spans="1:14" ht="60" hidden="1" outlineLevel="1" x14ac:dyDescent="0.25">
      <c r="A39" s="534" t="str">
        <f>IFERROR(IF(MATCH($B$34&amp;"-"&amp;$B39,'Protocol reference (numerical)'!$A$3:$A$217,0),"yes","x"),"no")</f>
        <v>no</v>
      </c>
      <c r="B39" s="422" t="s">
        <v>709</v>
      </c>
      <c r="C39" s="370" t="s">
        <v>757</v>
      </c>
      <c r="D39" s="365" t="s">
        <v>753</v>
      </c>
      <c r="E39" s="366" t="s">
        <v>696</v>
      </c>
      <c r="F39" s="366" t="s">
        <v>758</v>
      </c>
      <c r="G39" s="226" t="s">
        <v>759</v>
      </c>
      <c r="H39" s="523"/>
      <c r="I39" s="527"/>
      <c r="J39" s="379" t="s">
        <v>1416</v>
      </c>
      <c r="K39" s="626"/>
      <c r="L39" s="791" t="s">
        <v>760</v>
      </c>
    </row>
    <row r="40" spans="1:14" ht="60" hidden="1" outlineLevel="1" x14ac:dyDescent="0.25">
      <c r="A40" s="534" t="str">
        <f>IFERROR(IF(MATCH($B$34&amp;"-"&amp;$B40,'Protocol reference (numerical)'!$A$3:$A$217,0),"yes","x"),"no")</f>
        <v>no</v>
      </c>
      <c r="B40" s="422" t="s">
        <v>5</v>
      </c>
      <c r="C40" s="357" t="s">
        <v>761</v>
      </c>
      <c r="D40" s="365" t="s">
        <v>762</v>
      </c>
      <c r="E40" s="366" t="s">
        <v>696</v>
      </c>
      <c r="F40" s="366" t="s">
        <v>1752</v>
      </c>
      <c r="G40" s="226" t="s">
        <v>763</v>
      </c>
      <c r="H40" s="523"/>
      <c r="I40" s="527" t="s">
        <v>2260</v>
      </c>
      <c r="J40" s="379" t="s">
        <v>1416</v>
      </c>
      <c r="K40" s="626"/>
      <c r="L40" s="791" t="s">
        <v>764</v>
      </c>
    </row>
    <row r="41" spans="1:14" s="534" customFormat="1" hidden="1" outlineLevel="1" x14ac:dyDescent="0.25">
      <c r="A41" s="534" t="str">
        <f>IFERROR(IF(MATCH($B$34&amp;"-"&amp;$B41,'Protocol reference (numerical)'!$A$3:$A$217,0),"yes","x"),"no")</f>
        <v>yes</v>
      </c>
      <c r="B41" s="1169" t="s">
        <v>813</v>
      </c>
      <c r="C41" s="498" t="s">
        <v>1885</v>
      </c>
      <c r="D41" s="525" t="s">
        <v>762</v>
      </c>
      <c r="E41" s="524" t="s">
        <v>696</v>
      </c>
      <c r="F41" s="524" t="s">
        <v>1752</v>
      </c>
      <c r="G41" s="331"/>
      <c r="H41" s="526"/>
      <c r="I41" s="866"/>
      <c r="J41" s="408" t="s">
        <v>1467</v>
      </c>
      <c r="K41" s="661" t="s">
        <v>1886</v>
      </c>
      <c r="L41" s="791"/>
      <c r="M41" s="791"/>
      <c r="N41" s="669"/>
    </row>
    <row r="42" spans="1:14" hidden="1" outlineLevel="1" x14ac:dyDescent="0.25">
      <c r="A42" s="534" t="str">
        <f>IFERROR(IF(MATCH($B$34&amp;"-"&amp;$B42,'Protocol reference (numerical)'!$A$3:$A$217,0),"yes","x"),"no")</f>
        <v>yes</v>
      </c>
      <c r="B42" s="422">
        <v>4</v>
      </c>
      <c r="C42" s="357" t="s">
        <v>765</v>
      </c>
      <c r="D42" s="365" t="s">
        <v>766</v>
      </c>
      <c r="E42" s="366" t="s">
        <v>784</v>
      </c>
      <c r="F42" s="366" t="s">
        <v>767</v>
      </c>
      <c r="G42" s="825">
        <v>0.4</v>
      </c>
      <c r="H42" s="523">
        <v>2015</v>
      </c>
      <c r="I42" s="527">
        <v>2030</v>
      </c>
      <c r="J42" s="379" t="s">
        <v>1264</v>
      </c>
      <c r="K42" s="626"/>
      <c r="L42" s="256" t="s">
        <v>2204</v>
      </c>
    </row>
    <row r="43" spans="1:14" hidden="1" outlineLevel="1" x14ac:dyDescent="0.25">
      <c r="A43" s="534" t="str">
        <f>IFERROR(IF(MATCH($B$34&amp;"-"&amp;$B43,'Protocol reference (numerical)'!$A$3:$A$217,0),"yes","x"),"no")</f>
        <v>yes</v>
      </c>
      <c r="B43" s="422">
        <v>8</v>
      </c>
      <c r="C43" s="357" t="s">
        <v>773</v>
      </c>
      <c r="D43" s="365" t="s">
        <v>774</v>
      </c>
      <c r="E43" s="366" t="s">
        <v>696</v>
      </c>
      <c r="F43" s="366" t="s">
        <v>775</v>
      </c>
      <c r="G43" s="226" t="s">
        <v>776</v>
      </c>
      <c r="H43" s="523"/>
      <c r="I43" s="527">
        <v>2016</v>
      </c>
      <c r="J43" s="379" t="s">
        <v>1416</v>
      </c>
      <c r="K43" s="626"/>
      <c r="L43" s="791" t="s">
        <v>777</v>
      </c>
    </row>
    <row r="44" spans="1:14" s="335" customFormat="1" hidden="1" outlineLevel="1" x14ac:dyDescent="0.25">
      <c r="A44" s="534" t="str">
        <f>IFERROR(IF(MATCH($B$34&amp;"-"&amp;$B44,'Protocol reference (numerical)'!$A$3:$A$217,0),"yes","x"),"no")</f>
        <v>no</v>
      </c>
      <c r="B44" s="422">
        <v>9</v>
      </c>
      <c r="C44" s="357" t="s">
        <v>1753</v>
      </c>
      <c r="D44" s="383" t="s">
        <v>1754</v>
      </c>
      <c r="E44" s="366" t="s">
        <v>696</v>
      </c>
      <c r="F44" s="366" t="s">
        <v>1755</v>
      </c>
      <c r="G44" s="226" t="s">
        <v>1756</v>
      </c>
      <c r="H44" s="523" t="s">
        <v>1757</v>
      </c>
      <c r="I44" s="527"/>
      <c r="J44" s="379" t="s">
        <v>1416</v>
      </c>
      <c r="K44" s="626"/>
      <c r="L44" s="791"/>
      <c r="M44" s="791"/>
      <c r="N44" s="669"/>
    </row>
    <row r="45" spans="1:14" s="335" customFormat="1" hidden="1" outlineLevel="1" x14ac:dyDescent="0.25">
      <c r="A45" s="534" t="str">
        <f>IFERROR(IF(MATCH($B$34&amp;"-"&amp;$B45,'Protocol reference (numerical)'!$A$3:$A$217,0),"yes","x"),"no")</f>
        <v>no</v>
      </c>
      <c r="B45" s="422">
        <v>10</v>
      </c>
      <c r="C45" s="357" t="s">
        <v>1758</v>
      </c>
      <c r="D45" s="365" t="s">
        <v>1759</v>
      </c>
      <c r="E45" s="366" t="s">
        <v>696</v>
      </c>
      <c r="F45" s="366" t="s">
        <v>1760</v>
      </c>
      <c r="G45" s="226" t="s">
        <v>1761</v>
      </c>
      <c r="H45" s="523" t="s">
        <v>1762</v>
      </c>
      <c r="I45" s="527"/>
      <c r="J45" s="379"/>
      <c r="K45" s="626"/>
      <c r="L45" s="791"/>
      <c r="M45" s="791"/>
      <c r="N45" s="669"/>
    </row>
    <row r="46" spans="1:14" ht="45" hidden="1" outlineLevel="1" x14ac:dyDescent="0.25">
      <c r="A46" s="534" t="str">
        <f>IFERROR(IF(MATCH($B$34&amp;"-"&amp;$B46,'Protocol reference (numerical)'!$A$3:$A$217,0),"yes","x"),"no")</f>
        <v>no</v>
      </c>
      <c r="B46" s="422">
        <v>7</v>
      </c>
      <c r="C46" s="357" t="s">
        <v>768</v>
      </c>
      <c r="D46" s="365" t="s">
        <v>769</v>
      </c>
      <c r="E46" s="366" t="s">
        <v>696</v>
      </c>
      <c r="F46" s="366" t="s">
        <v>770</v>
      </c>
      <c r="G46" s="813" t="s">
        <v>771</v>
      </c>
      <c r="H46" s="523"/>
      <c r="I46" s="527">
        <v>2014</v>
      </c>
      <c r="J46" s="379" t="s">
        <v>1416</v>
      </c>
      <c r="K46" s="626"/>
      <c r="L46" s="256" t="s">
        <v>772</v>
      </c>
    </row>
    <row r="47" spans="1:14" s="335" customFormat="1" hidden="1" outlineLevel="1" x14ac:dyDescent="0.25">
      <c r="A47" s="534" t="str">
        <f>IFERROR(IF(MATCH($B$34&amp;"-"&amp;$B47,'Protocol reference (numerical)'!$A$3:$A$217,0),"yes","x"),"no")</f>
        <v>yes</v>
      </c>
      <c r="B47" s="1174">
        <v>5</v>
      </c>
      <c r="C47" s="371" t="s">
        <v>778</v>
      </c>
      <c r="D47" s="372" t="s">
        <v>779</v>
      </c>
      <c r="E47" s="373" t="s">
        <v>696</v>
      </c>
      <c r="F47" s="373" t="s">
        <v>780</v>
      </c>
      <c r="G47" s="269" t="s">
        <v>781</v>
      </c>
      <c r="H47" s="374"/>
      <c r="I47" s="867">
        <v>2020</v>
      </c>
      <c r="J47" s="380" t="s">
        <v>1417</v>
      </c>
      <c r="K47" s="661" t="s">
        <v>1881</v>
      </c>
      <c r="L47" s="256"/>
      <c r="M47" s="791"/>
      <c r="N47" s="669"/>
    </row>
    <row r="48" spans="1:14" ht="30" hidden="1" outlineLevel="1" x14ac:dyDescent="0.25">
      <c r="A48" s="534" t="str">
        <f>IFERROR(IF(MATCH($B$34&amp;"-"&amp;$B48,'Protocol reference (numerical)'!$A$3:$A$217,0),"yes","x"),"no")</f>
        <v>yes</v>
      </c>
      <c r="B48" s="1175">
        <v>6</v>
      </c>
      <c r="C48" s="377" t="s">
        <v>782</v>
      </c>
      <c r="D48" s="376" t="s">
        <v>783</v>
      </c>
      <c r="E48" s="1289" t="s">
        <v>696</v>
      </c>
      <c r="F48" s="375" t="s">
        <v>782</v>
      </c>
      <c r="G48" s="900">
        <v>0.85</v>
      </c>
      <c r="H48" s="378">
        <v>2036</v>
      </c>
      <c r="I48" s="874">
        <v>2036</v>
      </c>
      <c r="J48" s="604" t="s">
        <v>1465</v>
      </c>
      <c r="K48" s="839" t="s">
        <v>1527</v>
      </c>
    </row>
    <row r="49" spans="1:14" collapsed="1" x14ac:dyDescent="0.25">
      <c r="B49" s="43"/>
      <c r="C49" s="44"/>
      <c r="D49" s="44"/>
      <c r="E49" s="44"/>
      <c r="F49" s="44"/>
      <c r="G49" s="838"/>
      <c r="H49" s="870"/>
      <c r="I49" s="870"/>
      <c r="J49" s="44"/>
      <c r="K49" s="838"/>
    </row>
    <row r="50" spans="1:14" ht="23.25" x14ac:dyDescent="0.35">
      <c r="B50" s="286" t="s">
        <v>0</v>
      </c>
      <c r="C50" s="16" t="s">
        <v>334</v>
      </c>
      <c r="D50" s="16" t="s">
        <v>335</v>
      </c>
      <c r="E50" s="40" t="s">
        <v>336</v>
      </c>
      <c r="F50" s="16" t="s">
        <v>1419</v>
      </c>
      <c r="G50" s="858" t="s">
        <v>337</v>
      </c>
      <c r="H50" s="858" t="s">
        <v>2</v>
      </c>
      <c r="I50" s="833" t="s">
        <v>338</v>
      </c>
      <c r="J50" s="29" t="s">
        <v>1418</v>
      </c>
      <c r="K50" s="833" t="s">
        <v>2201</v>
      </c>
      <c r="L50" s="798" t="s">
        <v>690</v>
      </c>
    </row>
    <row r="51" spans="1:14" s="534" customFormat="1" hidden="1" outlineLevel="1" x14ac:dyDescent="0.25">
      <c r="A51" s="534" t="str">
        <f>IFERROR(IF(MATCH($B$50&amp;"-"&amp;$B51,'Protocol reference (numerical)'!$A$3:$A$217,0),"yes","x"),"no")</f>
        <v>no</v>
      </c>
      <c r="B51" s="1176">
        <v>1</v>
      </c>
      <c r="C51" s="561" t="s">
        <v>2514</v>
      </c>
      <c r="D51" s="566" t="s">
        <v>2518</v>
      </c>
      <c r="E51" s="563" t="s">
        <v>784</v>
      </c>
      <c r="F51" s="541" t="s">
        <v>339</v>
      </c>
      <c r="G51" s="564" t="s">
        <v>1875</v>
      </c>
      <c r="H51" s="564">
        <v>2005</v>
      </c>
      <c r="I51" s="601" t="s">
        <v>1876</v>
      </c>
      <c r="J51" s="122" t="s">
        <v>1467</v>
      </c>
      <c r="K51" s="606"/>
      <c r="L51" s="791"/>
      <c r="M51" s="791"/>
      <c r="N51" s="669"/>
    </row>
    <row r="52" spans="1:14" ht="30" hidden="1" outlineLevel="1" x14ac:dyDescent="0.25">
      <c r="A52" s="534" t="str">
        <f>IFERROR(IF(MATCH($B$50&amp;"-"&amp;$B52,'Protocol reference (numerical)'!$A$3:$A$217,0),"yes","x"),"no")</f>
        <v>yes</v>
      </c>
      <c r="B52" s="1177" t="s">
        <v>34</v>
      </c>
      <c r="C52" s="49" t="s">
        <v>345</v>
      </c>
      <c r="D52" s="149" t="s">
        <v>346</v>
      </c>
      <c r="E52" s="47" t="s">
        <v>696</v>
      </c>
      <c r="F52" s="46" t="s">
        <v>1486</v>
      </c>
      <c r="G52" s="51">
        <v>0.16</v>
      </c>
      <c r="H52" s="52"/>
      <c r="I52" s="53">
        <v>2024</v>
      </c>
      <c r="J52" s="675" t="s">
        <v>1498</v>
      </c>
      <c r="K52" s="607">
        <v>0.16</v>
      </c>
      <c r="L52" s="799" t="s">
        <v>2208</v>
      </c>
    </row>
    <row r="53" spans="1:14" hidden="1" outlineLevel="1" x14ac:dyDescent="0.25">
      <c r="A53" s="534" t="str">
        <f>IFERROR(IF(MATCH($B$50&amp;"-"&amp;$B53,'Protocol reference (numerical)'!$A$3:$A$217,0),"yes","x"),"no")</f>
        <v>yes</v>
      </c>
      <c r="B53" s="1177" t="s">
        <v>34</v>
      </c>
      <c r="C53" s="49"/>
      <c r="D53" s="50"/>
      <c r="E53" s="47"/>
      <c r="F53" s="46" t="s">
        <v>1382</v>
      </c>
      <c r="G53" s="51" t="s">
        <v>1383</v>
      </c>
      <c r="H53" s="52"/>
      <c r="I53" s="53">
        <v>2024</v>
      </c>
      <c r="J53" s="675" t="s">
        <v>1408</v>
      </c>
      <c r="K53" s="796" t="s">
        <v>2115</v>
      </c>
      <c r="L53" s="791" t="s">
        <v>2209</v>
      </c>
    </row>
    <row r="54" spans="1:14" hidden="1" outlineLevel="1" x14ac:dyDescent="0.25">
      <c r="A54" s="534" t="str">
        <f>IFERROR(IF(MATCH($B$50&amp;"-"&amp;$B54,'Protocol reference (numerical)'!$A$3:$A$217,0),"yes","x"),"no")</f>
        <v>yes</v>
      </c>
      <c r="B54" s="1177" t="s">
        <v>34</v>
      </c>
      <c r="C54" s="49"/>
      <c r="D54" s="50"/>
      <c r="E54" s="47"/>
      <c r="F54" s="46" t="s">
        <v>1384</v>
      </c>
      <c r="G54" s="51" t="s">
        <v>1385</v>
      </c>
      <c r="H54" s="52"/>
      <c r="I54" s="53">
        <v>2024</v>
      </c>
      <c r="J54" s="675" t="s">
        <v>1408</v>
      </c>
      <c r="K54" s="796" t="s">
        <v>2116</v>
      </c>
      <c r="L54" s="791" t="s">
        <v>2210</v>
      </c>
    </row>
    <row r="55" spans="1:14" hidden="1" outlineLevel="1" x14ac:dyDescent="0.25">
      <c r="A55" s="534" t="str">
        <f>IFERROR(IF(MATCH($B$50&amp;"-"&amp;$B55,'Protocol reference (numerical)'!$A$3:$A$217,0),"yes","x"),"no")</f>
        <v>yes</v>
      </c>
      <c r="B55" s="1177" t="s">
        <v>34</v>
      </c>
      <c r="C55" s="49"/>
      <c r="D55" s="50"/>
      <c r="E55" s="47"/>
      <c r="F55" s="46" t="s">
        <v>1386</v>
      </c>
      <c r="G55" s="51" t="s">
        <v>1387</v>
      </c>
      <c r="H55" s="52"/>
      <c r="I55" s="53">
        <v>2024</v>
      </c>
      <c r="J55" s="675" t="s">
        <v>1408</v>
      </c>
      <c r="K55" s="796" t="s">
        <v>2117</v>
      </c>
      <c r="L55" s="791" t="s">
        <v>2211</v>
      </c>
    </row>
    <row r="56" spans="1:14" hidden="1" outlineLevel="1" x14ac:dyDescent="0.25">
      <c r="A56" s="534" t="str">
        <f>IFERROR(IF(MATCH($B$50&amp;"-"&amp;$B56,'Protocol reference (numerical)'!$A$3:$A$217,0),"yes","x"),"no")</f>
        <v>yes</v>
      </c>
      <c r="B56" s="1177" t="s">
        <v>34</v>
      </c>
      <c r="C56" s="49"/>
      <c r="D56" s="50"/>
      <c r="E56" s="47"/>
      <c r="F56" s="46" t="s">
        <v>1388</v>
      </c>
      <c r="G56" s="51" t="s">
        <v>1389</v>
      </c>
      <c r="H56" s="52"/>
      <c r="I56" s="53">
        <v>2024</v>
      </c>
      <c r="J56" s="675" t="s">
        <v>1408</v>
      </c>
      <c r="K56" s="796" t="s">
        <v>2118</v>
      </c>
      <c r="L56" s="791" t="s">
        <v>2212</v>
      </c>
    </row>
    <row r="57" spans="1:14" hidden="1" outlineLevel="1" x14ac:dyDescent="0.25">
      <c r="A57" s="534" t="str">
        <f>IFERROR(IF(MATCH($B$50&amp;"-"&amp;$B57,'Protocol reference (numerical)'!$A$3:$A$217,0),"yes","x"),"no")</f>
        <v>yes</v>
      </c>
      <c r="B57" s="1177" t="s">
        <v>34</v>
      </c>
      <c r="C57" s="49"/>
      <c r="D57" s="50"/>
      <c r="E57" s="47"/>
      <c r="F57" s="46" t="s">
        <v>1390</v>
      </c>
      <c r="G57" s="51" t="s">
        <v>1391</v>
      </c>
      <c r="H57" s="52"/>
      <c r="I57" s="53">
        <v>2024</v>
      </c>
      <c r="J57" s="675" t="s">
        <v>1408</v>
      </c>
      <c r="K57" s="796" t="s">
        <v>2119</v>
      </c>
      <c r="L57" s="791" t="s">
        <v>2213</v>
      </c>
    </row>
    <row r="58" spans="1:14" ht="30" hidden="1" outlineLevel="1" x14ac:dyDescent="0.25">
      <c r="A58" s="534" t="str">
        <f>IFERROR(IF(MATCH($B$50&amp;"-"&amp;$B58,'Protocol reference (numerical)'!$A$3:$A$217,0),"yes","x"),"no")</f>
        <v>yes</v>
      </c>
      <c r="B58" s="110" t="s">
        <v>708</v>
      </c>
      <c r="C58" s="54" t="s">
        <v>348</v>
      </c>
      <c r="D58" s="149" t="s">
        <v>346</v>
      </c>
      <c r="E58" s="41" t="s">
        <v>696</v>
      </c>
      <c r="F58" s="9" t="s">
        <v>785</v>
      </c>
      <c r="G58" s="56">
        <v>0.45200000000000001</v>
      </c>
      <c r="H58" s="56"/>
      <c r="I58" s="557">
        <v>2024</v>
      </c>
      <c r="J58" s="675" t="s">
        <v>1406</v>
      </c>
      <c r="K58" s="607">
        <v>0.45</v>
      </c>
      <c r="L58" s="799" t="s">
        <v>2063</v>
      </c>
    </row>
    <row r="59" spans="1:14" ht="150" hidden="1" outlineLevel="1" x14ac:dyDescent="0.25">
      <c r="A59" s="534" t="str">
        <f>IFERROR(IF(MATCH($B$50&amp;"-"&amp;$B59,'Protocol reference (numerical)'!$A$3:$A$217,0),"yes","x"),"no")</f>
        <v>no</v>
      </c>
      <c r="B59" s="110">
        <v>3</v>
      </c>
      <c r="C59" s="54" t="s">
        <v>349</v>
      </c>
      <c r="D59" s="136" t="s">
        <v>350</v>
      </c>
      <c r="E59" s="41" t="s">
        <v>696</v>
      </c>
      <c r="F59" s="9"/>
      <c r="G59" s="58"/>
      <c r="H59" s="58"/>
      <c r="I59" s="557"/>
      <c r="J59" s="675" t="s">
        <v>1416</v>
      </c>
      <c r="K59" s="608"/>
      <c r="L59" s="799" t="s">
        <v>786</v>
      </c>
      <c r="M59" s="791" t="s">
        <v>787</v>
      </c>
    </row>
    <row r="60" spans="1:14" ht="60" hidden="1" outlineLevel="1" x14ac:dyDescent="0.25">
      <c r="A60" s="534" t="str">
        <f>IFERROR(IF(MATCH($B$50&amp;"-"&amp;$B60,'Protocol reference (numerical)'!$A$3:$A$217,0),"yes","x"),"no")</f>
        <v>yes</v>
      </c>
      <c r="B60" s="110" t="s">
        <v>351</v>
      </c>
      <c r="C60" s="54" t="s">
        <v>352</v>
      </c>
      <c r="D60" s="136" t="s">
        <v>353</v>
      </c>
      <c r="E60" s="41" t="s">
        <v>696</v>
      </c>
      <c r="F60" s="9" t="s">
        <v>354</v>
      </c>
      <c r="G60" s="59" t="s">
        <v>788</v>
      </c>
      <c r="H60" s="59"/>
      <c r="I60" s="681" t="s">
        <v>1488</v>
      </c>
      <c r="J60" s="676" t="s">
        <v>1464</v>
      </c>
      <c r="K60" s="609" t="s">
        <v>1489</v>
      </c>
      <c r="L60" s="799" t="s">
        <v>2214</v>
      </c>
      <c r="M60" s="791" t="s">
        <v>2207</v>
      </c>
    </row>
    <row r="61" spans="1:14" ht="60" hidden="1" outlineLevel="1" x14ac:dyDescent="0.25">
      <c r="A61" s="534" t="str">
        <f>IFERROR(IF(MATCH($B$50&amp;"-"&amp;$B61,'Protocol reference (numerical)'!$A$3:$A$217,0),"yes","x"),"no")</f>
        <v>yes</v>
      </c>
      <c r="B61" s="110" t="s">
        <v>2488</v>
      </c>
      <c r="C61" s="54" t="s">
        <v>356</v>
      </c>
      <c r="D61" s="136" t="s">
        <v>357</v>
      </c>
      <c r="E61" s="41" t="s">
        <v>696</v>
      </c>
      <c r="F61" s="54" t="s">
        <v>789</v>
      </c>
      <c r="G61" s="56">
        <v>0.27</v>
      </c>
      <c r="H61" s="56"/>
      <c r="I61" s="682" t="s">
        <v>456</v>
      </c>
      <c r="J61" s="677" t="s">
        <v>1464</v>
      </c>
      <c r="K61" s="610">
        <v>0.27</v>
      </c>
      <c r="L61" s="799"/>
      <c r="M61" s="791" t="s">
        <v>2206</v>
      </c>
    </row>
    <row r="62" spans="1:14" hidden="1" outlineLevel="1" x14ac:dyDescent="0.25">
      <c r="A62" s="534" t="str">
        <f>IFERROR(IF(MATCH($B$50&amp;"-"&amp;$B62,'Protocol reference (numerical)'!$A$3:$A$217,0),"yes","x"),"no")</f>
        <v>yes</v>
      </c>
      <c r="B62" s="110" t="s">
        <v>2489</v>
      </c>
      <c r="C62" s="54" t="s">
        <v>1487</v>
      </c>
      <c r="D62" s="136"/>
      <c r="E62" s="41"/>
      <c r="F62" s="54" t="s">
        <v>1499</v>
      </c>
      <c r="G62" s="56"/>
      <c r="H62" s="56"/>
      <c r="I62" s="682"/>
      <c r="J62" s="677" t="s">
        <v>1464</v>
      </c>
      <c r="K62" s="610">
        <v>0.24</v>
      </c>
      <c r="L62" s="799"/>
    </row>
    <row r="63" spans="1:14" ht="30" hidden="1" outlineLevel="1" x14ac:dyDescent="0.25">
      <c r="A63" s="534" t="str">
        <f>IFERROR(IF(MATCH($B$50&amp;"-"&amp;$B63,'Protocol reference (numerical)'!$A$3:$A$217,0),"yes","x"),"no")</f>
        <v>yes</v>
      </c>
      <c r="B63" s="110">
        <v>5</v>
      </c>
      <c r="C63" s="54" t="s">
        <v>358</v>
      </c>
      <c r="D63" s="136" t="s">
        <v>359</v>
      </c>
      <c r="E63" s="41" t="s">
        <v>696</v>
      </c>
      <c r="F63" s="9" t="s">
        <v>360</v>
      </c>
      <c r="G63" s="58" t="s">
        <v>361</v>
      </c>
      <c r="H63" s="58"/>
      <c r="I63" s="557">
        <v>2017</v>
      </c>
      <c r="J63" s="675" t="s">
        <v>1412</v>
      </c>
      <c r="K63" s="608" t="s">
        <v>1497</v>
      </c>
      <c r="L63" s="670" t="s">
        <v>1496</v>
      </c>
    </row>
    <row r="64" spans="1:14" ht="30" hidden="1" outlineLevel="1" x14ac:dyDescent="0.25">
      <c r="A64" s="534" t="str">
        <f>IFERROR(IF(MATCH($B$50&amp;"-"&amp;$B64,'Protocol reference (numerical)'!$A$3:$A$217,0),"yes","x"),"no")</f>
        <v>no</v>
      </c>
      <c r="B64" s="110"/>
      <c r="C64" s="54"/>
      <c r="D64" s="55"/>
      <c r="E64" s="41"/>
      <c r="F64" s="9" t="s">
        <v>790</v>
      </c>
      <c r="G64" s="61">
        <f>2.07*(1-12.1%)</f>
        <v>1.8195299999999999</v>
      </c>
      <c r="H64" s="58"/>
      <c r="I64" s="557">
        <v>2017</v>
      </c>
      <c r="J64" s="675" t="s">
        <v>1412</v>
      </c>
      <c r="K64" s="608"/>
      <c r="L64" s="670" t="s">
        <v>791</v>
      </c>
      <c r="M64" s="800" t="s">
        <v>792</v>
      </c>
    </row>
    <row r="65" spans="1:13" hidden="1" outlineLevel="1" x14ac:dyDescent="0.25">
      <c r="A65" s="534" t="str">
        <f>IFERROR(IF(MATCH($B$50&amp;"-"&amp;$B65,'Protocol reference (numerical)'!$A$3:$A$217,0),"yes","x"),"no")</f>
        <v>no</v>
      </c>
      <c r="B65" s="110"/>
      <c r="C65" s="54"/>
      <c r="D65" s="55"/>
      <c r="E65" s="41"/>
      <c r="F65" s="9" t="s">
        <v>793</v>
      </c>
      <c r="G65" s="62">
        <v>19.100000000000001</v>
      </c>
      <c r="H65" s="58"/>
      <c r="I65" s="557">
        <v>2017</v>
      </c>
      <c r="J65" s="675" t="s">
        <v>1412</v>
      </c>
      <c r="K65" s="608"/>
      <c r="L65" s="670"/>
    </row>
    <row r="66" spans="1:13" hidden="1" outlineLevel="1" x14ac:dyDescent="0.25">
      <c r="A66" s="534" t="str">
        <f>IFERROR(IF(MATCH($B$50&amp;"-"&amp;$B66,'Protocol reference (numerical)'!$A$3:$A$217,0),"yes","x"),"no")</f>
        <v>yes</v>
      </c>
      <c r="B66" s="110">
        <v>6</v>
      </c>
      <c r="C66" s="54" t="s">
        <v>362</v>
      </c>
      <c r="D66" s="136" t="s">
        <v>362</v>
      </c>
      <c r="E66" s="63" t="s">
        <v>696</v>
      </c>
      <c r="F66" s="64" t="s">
        <v>363</v>
      </c>
      <c r="G66" s="65">
        <v>0</v>
      </c>
      <c r="H66" s="65"/>
      <c r="I66" s="683">
        <v>2016</v>
      </c>
      <c r="J66" s="678"/>
      <c r="K66" s="611"/>
      <c r="L66" s="799" t="s">
        <v>2215</v>
      </c>
    </row>
    <row r="67" spans="1:13" hidden="1" outlineLevel="1" x14ac:dyDescent="0.25">
      <c r="A67" s="534" t="str">
        <f>IFERROR(IF(MATCH($B$50&amp;"-"&amp;$B67,'Protocol reference (numerical)'!$A$3:$A$217,0),"yes","x"),"no")</f>
        <v>no</v>
      </c>
      <c r="B67" s="110">
        <v>7</v>
      </c>
      <c r="C67" s="54" t="s">
        <v>364</v>
      </c>
      <c r="D67" s="136" t="s">
        <v>365</v>
      </c>
      <c r="E67" s="41" t="s">
        <v>696</v>
      </c>
      <c r="F67" s="9" t="s">
        <v>363</v>
      </c>
      <c r="G67" s="58"/>
      <c r="H67" s="58"/>
      <c r="I67" s="557"/>
      <c r="J67" s="675"/>
      <c r="K67" s="608"/>
      <c r="L67" s="799"/>
    </row>
    <row r="68" spans="1:13" ht="30" hidden="1" outlineLevel="1" x14ac:dyDescent="0.25">
      <c r="A68" s="534" t="str">
        <f>IFERROR(IF(MATCH($B$50&amp;"-"&amp;$B68,'Protocol reference (numerical)'!$A$3:$A$217,0),"yes","x"),"no")</f>
        <v>yes</v>
      </c>
      <c r="B68" s="1178">
        <v>8</v>
      </c>
      <c r="C68" s="66" t="s">
        <v>794</v>
      </c>
      <c r="D68" s="153" t="s">
        <v>343</v>
      </c>
      <c r="E68" s="68" t="s">
        <v>696</v>
      </c>
      <c r="F68" s="69" t="s">
        <v>795</v>
      </c>
      <c r="G68" s="70">
        <v>0.8</v>
      </c>
      <c r="H68" s="71" t="s">
        <v>796</v>
      </c>
      <c r="I68" s="632">
        <v>2020</v>
      </c>
      <c r="J68" s="679" t="s">
        <v>1473</v>
      </c>
      <c r="K68" s="612">
        <v>0.44</v>
      </c>
      <c r="L68" s="799" t="s">
        <v>2537</v>
      </c>
      <c r="M68" s="800" t="s">
        <v>1500</v>
      </c>
    </row>
    <row r="69" spans="1:13" hidden="1" outlineLevel="1" x14ac:dyDescent="0.25">
      <c r="A69" s="534" t="str">
        <f>IFERROR(IF(MATCH($B$50&amp;"-"&amp;$B69,'Protocol reference (numerical)'!$A$3:$A$217,0),"yes","x"),"no")</f>
        <v>no</v>
      </c>
      <c r="B69" s="1178"/>
      <c r="C69" s="66"/>
      <c r="D69" s="67"/>
      <c r="E69" s="68"/>
      <c r="F69" s="69" t="s">
        <v>344</v>
      </c>
      <c r="G69" s="71" t="s">
        <v>798</v>
      </c>
      <c r="H69" s="71" t="s">
        <v>374</v>
      </c>
      <c r="I69" s="632">
        <v>2020</v>
      </c>
      <c r="J69" s="679"/>
      <c r="K69" s="613"/>
      <c r="L69" s="799" t="s">
        <v>797</v>
      </c>
    </row>
    <row r="70" spans="1:13" hidden="1" outlineLevel="1" x14ac:dyDescent="0.25">
      <c r="A70" s="534" t="str">
        <f>IFERROR(IF(MATCH($B$50&amp;"-"&amp;$B70,'Protocol reference (numerical)'!$A$3:$A$217,0),"yes","x"),"no")</f>
        <v>yes</v>
      </c>
      <c r="B70" s="1178">
        <v>9</v>
      </c>
      <c r="C70" s="66" t="s">
        <v>799</v>
      </c>
      <c r="D70" s="153" t="s">
        <v>800</v>
      </c>
      <c r="E70" s="68" t="s">
        <v>696</v>
      </c>
      <c r="F70" s="69"/>
      <c r="G70" s="71"/>
      <c r="H70" s="71"/>
      <c r="I70" s="632"/>
      <c r="J70" s="679" t="s">
        <v>1417</v>
      </c>
      <c r="K70" s="613" t="s">
        <v>1891</v>
      </c>
      <c r="L70" s="799" t="s">
        <v>801</v>
      </c>
    </row>
    <row r="71" spans="1:13" hidden="1" outlineLevel="1" x14ac:dyDescent="0.25">
      <c r="A71" s="534" t="str">
        <f>IFERROR(IF(MATCH($B$50&amp;"-"&amp;$B71,'Protocol reference (numerical)'!$A$3:$A$217,0),"yes","x"),"no")</f>
        <v>yes</v>
      </c>
      <c r="B71" s="1233">
        <v>10</v>
      </c>
      <c r="C71" s="1234" t="s">
        <v>370</v>
      </c>
      <c r="D71" s="1235" t="s">
        <v>371</v>
      </c>
      <c r="E71" s="1236" t="s">
        <v>696</v>
      </c>
      <c r="F71" s="1237" t="s">
        <v>344</v>
      </c>
      <c r="G71" s="1238" t="s">
        <v>372</v>
      </c>
      <c r="H71" s="1238" t="s">
        <v>374</v>
      </c>
      <c r="I71" s="1239">
        <v>2020</v>
      </c>
      <c r="J71" s="1240" t="s">
        <v>1467</v>
      </c>
      <c r="K71" s="699" t="s">
        <v>2113</v>
      </c>
      <c r="L71" s="799" t="s">
        <v>2216</v>
      </c>
    </row>
    <row r="72" spans="1:13" hidden="1" outlineLevel="1" x14ac:dyDescent="0.25">
      <c r="A72" s="534" t="str">
        <f>IFERROR(IF(MATCH($B$50&amp;"-"&amp;$B72,'Protocol reference (numerical)'!$A$3:$A$217,0),"yes","x"),"no")</f>
        <v>yes</v>
      </c>
      <c r="B72" s="1187">
        <v>11</v>
      </c>
      <c r="C72" s="1241" t="s">
        <v>806</v>
      </c>
      <c r="D72" s="1242" t="s">
        <v>807</v>
      </c>
      <c r="E72" s="418" t="s">
        <v>696</v>
      </c>
      <c r="F72" s="1241" t="s">
        <v>808</v>
      </c>
      <c r="G72" s="1243">
        <v>0.98099999999999998</v>
      </c>
      <c r="H72" s="1244"/>
      <c r="I72" s="1245">
        <v>2018</v>
      </c>
      <c r="J72" s="1246" t="s">
        <v>1485</v>
      </c>
      <c r="K72" s="665"/>
      <c r="L72" s="801"/>
    </row>
    <row r="73" spans="1:13" hidden="1" outlineLevel="1" x14ac:dyDescent="0.25">
      <c r="A73" s="534" t="str">
        <f>IFERROR(IF(MATCH($B$50&amp;"-"&amp;$B73,'Protocol reference (numerical)'!$A$3:$A$217,0),"yes","x"),"no")</f>
        <v>yes</v>
      </c>
      <c r="B73" s="1177" t="s">
        <v>907</v>
      </c>
      <c r="C73" s="49" t="s">
        <v>2515</v>
      </c>
      <c r="D73" s="149" t="s">
        <v>2519</v>
      </c>
      <c r="E73" s="158" t="s">
        <v>784</v>
      </c>
      <c r="F73" s="548" t="s">
        <v>340</v>
      </c>
      <c r="G73" s="51">
        <v>0.45</v>
      </c>
      <c r="H73" s="52"/>
      <c r="I73" s="53">
        <v>2030</v>
      </c>
      <c r="J73" s="680" t="s">
        <v>784</v>
      </c>
      <c r="K73" s="739">
        <v>0.45</v>
      </c>
      <c r="L73" s="799"/>
    </row>
    <row r="74" spans="1:13" hidden="1" outlineLevel="1" x14ac:dyDescent="0.25">
      <c r="A74" s="534" t="str">
        <f>IFERROR(IF(MATCH($B$50&amp;"-"&amp;$B74,'Protocol reference (numerical)'!$A$3:$A$217,0),"yes","x"),"no")</f>
        <v>no</v>
      </c>
      <c r="B74" s="110" t="s">
        <v>909</v>
      </c>
      <c r="C74" s="54" t="s">
        <v>2515</v>
      </c>
      <c r="D74" s="136" t="s">
        <v>2519</v>
      </c>
      <c r="E74" s="63" t="s">
        <v>784</v>
      </c>
      <c r="F74" s="9" t="s">
        <v>1503</v>
      </c>
      <c r="G74" s="56" t="s">
        <v>1502</v>
      </c>
      <c r="H74" s="58"/>
      <c r="I74" s="557">
        <v>2030</v>
      </c>
      <c r="J74" s="680" t="s">
        <v>784</v>
      </c>
      <c r="K74" s="608"/>
      <c r="L74" s="799"/>
    </row>
    <row r="75" spans="1:13" hidden="1" outlineLevel="1" x14ac:dyDescent="0.25">
      <c r="A75" s="534" t="str">
        <f>IFERROR(IF(MATCH($B$50&amp;"-"&amp;$B75,'Protocol reference (numerical)'!$A$3:$A$217,0),"yes","x"),"no")</f>
        <v>no</v>
      </c>
      <c r="B75" s="110" t="s">
        <v>978</v>
      </c>
      <c r="C75" s="54" t="s">
        <v>2515</v>
      </c>
      <c r="D75" s="136" t="s">
        <v>2519</v>
      </c>
      <c r="E75" s="63" t="s">
        <v>784</v>
      </c>
      <c r="F75" s="9" t="s">
        <v>342</v>
      </c>
      <c r="G75" s="56">
        <v>0.23</v>
      </c>
      <c r="H75" s="58"/>
      <c r="I75" s="557">
        <v>2030</v>
      </c>
      <c r="J75" s="680" t="s">
        <v>784</v>
      </c>
      <c r="K75" s="608"/>
      <c r="L75" s="799"/>
    </row>
    <row r="76" spans="1:13" hidden="1" outlineLevel="1" x14ac:dyDescent="0.25">
      <c r="A76" s="534" t="str">
        <f>IFERROR(IF(MATCH($B$50&amp;"-"&amp;$B76,'Protocol reference (numerical)'!$A$3:$A$217,0),"yes","x"),"no")</f>
        <v>no</v>
      </c>
      <c r="B76" s="110"/>
      <c r="C76" s="54"/>
      <c r="D76" s="136" t="s">
        <v>2520</v>
      </c>
      <c r="E76" s="63" t="s">
        <v>784</v>
      </c>
      <c r="F76" s="9" t="s">
        <v>1504</v>
      </c>
      <c r="G76" s="56" t="s">
        <v>1505</v>
      </c>
      <c r="H76" s="58"/>
      <c r="I76" s="557">
        <v>2030</v>
      </c>
      <c r="J76" s="680" t="s">
        <v>784</v>
      </c>
      <c r="K76" s="608"/>
      <c r="L76" s="799"/>
    </row>
    <row r="77" spans="1:13" hidden="1" outlineLevel="1" x14ac:dyDescent="0.25">
      <c r="A77" s="534" t="str">
        <f>IFERROR(IF(MATCH($B$50&amp;"-"&amp;$B77,'Protocol reference (numerical)'!$A$3:$A$217,0),"yes","x"),"no")</f>
        <v>no</v>
      </c>
      <c r="B77" s="110"/>
      <c r="C77" s="54"/>
      <c r="D77" s="136" t="s">
        <v>2520</v>
      </c>
      <c r="E77" s="63" t="s">
        <v>784</v>
      </c>
      <c r="F77" s="9" t="s">
        <v>1506</v>
      </c>
      <c r="G77" s="56" t="s">
        <v>1507</v>
      </c>
      <c r="H77" s="58"/>
      <c r="I77" s="557">
        <v>2030</v>
      </c>
      <c r="J77" s="680" t="s">
        <v>784</v>
      </c>
      <c r="K77" s="608"/>
      <c r="L77" s="799"/>
    </row>
    <row r="78" spans="1:13" ht="75" hidden="1" outlineLevel="1" x14ac:dyDescent="0.25">
      <c r="A78" s="534" t="str">
        <f>IFERROR(IF(MATCH($B$50&amp;"-"&amp;$B78,'Protocol reference (numerical)'!$A$3:$A$217,0),"yes","x"),"no")</f>
        <v>no</v>
      </c>
      <c r="B78" s="110" t="s">
        <v>2490</v>
      </c>
      <c r="C78" s="54" t="s">
        <v>2515</v>
      </c>
      <c r="D78" s="136" t="s">
        <v>2521</v>
      </c>
      <c r="E78" s="63" t="s">
        <v>784</v>
      </c>
      <c r="F78" s="9" t="s">
        <v>1501</v>
      </c>
      <c r="G78" s="56">
        <v>0.18</v>
      </c>
      <c r="H78" s="58"/>
      <c r="I78" s="557">
        <v>2030</v>
      </c>
      <c r="J78" s="680" t="s">
        <v>784</v>
      </c>
      <c r="K78" s="608"/>
      <c r="L78" s="256" t="s">
        <v>2538</v>
      </c>
    </row>
    <row r="79" spans="1:13" hidden="1" outlineLevel="1" x14ac:dyDescent="0.25">
      <c r="A79" s="534" t="str">
        <f>IFERROR(IF(MATCH($B$50&amp;"-"&amp;$B79,'Protocol reference (numerical)'!$A$3:$A$217,0),"yes","x"),"no")</f>
        <v>no</v>
      </c>
      <c r="B79" s="110" t="s">
        <v>2491</v>
      </c>
      <c r="C79" s="54" t="s">
        <v>2515</v>
      </c>
      <c r="D79" s="136" t="s">
        <v>2522</v>
      </c>
      <c r="E79" s="63" t="s">
        <v>784</v>
      </c>
      <c r="F79" s="9" t="s">
        <v>1508</v>
      </c>
      <c r="G79" s="56" t="s">
        <v>1509</v>
      </c>
      <c r="H79" s="58">
        <v>2015</v>
      </c>
      <c r="I79" s="557">
        <v>2030</v>
      </c>
      <c r="J79" s="680" t="s">
        <v>784</v>
      </c>
      <c r="K79" s="608"/>
      <c r="L79" s="799"/>
    </row>
    <row r="80" spans="1:13" hidden="1" outlineLevel="1" x14ac:dyDescent="0.25">
      <c r="A80" s="534" t="str">
        <f>IFERROR(IF(MATCH($B$50&amp;"-"&amp;$B80,'Protocol reference (numerical)'!$A$3:$A$217,0),"yes","x"),"no")</f>
        <v>no</v>
      </c>
      <c r="B80" s="110"/>
      <c r="C80" s="54"/>
      <c r="D80" s="136"/>
      <c r="E80" s="63"/>
      <c r="F80" s="9"/>
      <c r="G80" s="56"/>
      <c r="H80" s="58"/>
      <c r="I80" s="557"/>
      <c r="J80" s="680" t="s">
        <v>784</v>
      </c>
      <c r="K80" s="608"/>
      <c r="L80" s="799"/>
    </row>
    <row r="81" spans="1:14" ht="30" hidden="1" outlineLevel="1" x14ac:dyDescent="0.25">
      <c r="A81" s="534" t="str">
        <f>IFERROR(IF(MATCH($B$50&amp;"-"&amp;$B81,'Protocol reference (numerical)'!$A$3:$A$217,0),"yes","x"),"no")</f>
        <v>no</v>
      </c>
      <c r="B81" s="1178">
        <v>13</v>
      </c>
      <c r="C81" s="66" t="s">
        <v>803</v>
      </c>
      <c r="D81" s="153" t="s">
        <v>369</v>
      </c>
      <c r="E81" s="1290" t="s">
        <v>696</v>
      </c>
      <c r="F81" s="69" t="s">
        <v>795</v>
      </c>
      <c r="G81" s="70">
        <v>0.4</v>
      </c>
      <c r="H81" s="71" t="s">
        <v>796</v>
      </c>
      <c r="I81" s="632">
        <v>2020</v>
      </c>
      <c r="J81" s="1291" t="s">
        <v>1473</v>
      </c>
      <c r="K81" s="1292">
        <v>3.9E-2</v>
      </c>
      <c r="L81" s="799" t="s">
        <v>797</v>
      </c>
    </row>
    <row r="82" spans="1:14" hidden="1" outlineLevel="1" x14ac:dyDescent="0.25">
      <c r="A82" s="534" t="str">
        <f>IFERROR(IF(MATCH($B$50&amp;"-"&amp;$B82,'Protocol reference (numerical)'!$A$3:$A$217,0),"yes","x"),"no")</f>
        <v>no</v>
      </c>
      <c r="B82" s="110"/>
      <c r="C82" s="54"/>
      <c r="D82" s="55"/>
      <c r="E82" s="41"/>
      <c r="F82" s="9" t="s">
        <v>344</v>
      </c>
      <c r="G82" s="58" t="s">
        <v>804</v>
      </c>
      <c r="H82" s="58" t="s">
        <v>374</v>
      </c>
      <c r="I82" s="557">
        <v>2020</v>
      </c>
      <c r="J82" s="680" t="s">
        <v>784</v>
      </c>
      <c r="K82" s="608"/>
      <c r="L82" s="799" t="s">
        <v>797</v>
      </c>
    </row>
    <row r="83" spans="1:14" ht="30" hidden="1" outlineLevel="1" x14ac:dyDescent="0.25">
      <c r="A83" s="534" t="str">
        <f>IFERROR(IF(MATCH($B$50&amp;"-"&amp;$B83,'Protocol reference (numerical)'!$A$3:$A$217,0),"yes","x"),"no")</f>
        <v>no</v>
      </c>
      <c r="B83" s="110">
        <v>14</v>
      </c>
      <c r="C83" s="54" t="s">
        <v>366</v>
      </c>
      <c r="D83" s="136" t="s">
        <v>367</v>
      </c>
      <c r="E83" s="41" t="s">
        <v>784</v>
      </c>
      <c r="F83" s="9" t="s">
        <v>344</v>
      </c>
      <c r="G83" s="56" t="s">
        <v>368</v>
      </c>
      <c r="H83" s="58" t="s">
        <v>805</v>
      </c>
      <c r="I83" s="557">
        <v>2020</v>
      </c>
      <c r="J83" s="680" t="s">
        <v>784</v>
      </c>
      <c r="K83" s="608"/>
      <c r="L83" s="23" t="s">
        <v>2205</v>
      </c>
    </row>
    <row r="84" spans="1:14" collapsed="1" x14ac:dyDescent="0.25">
      <c r="A84" s="534" t="str">
        <f>IFERROR(IF(MATCH($B$50&amp;"-"&amp;$B84,'Protocol reference (numerical)'!$A$3:$A$217,0),"yes","x"),"no")</f>
        <v>no</v>
      </c>
      <c r="B84" s="73"/>
      <c r="C84" s="7"/>
      <c r="D84" s="7"/>
      <c r="E84" s="44"/>
      <c r="F84" s="7"/>
      <c r="G84" s="838"/>
      <c r="H84" s="838"/>
      <c r="I84" s="838"/>
      <c r="J84" s="7"/>
      <c r="K84" s="838"/>
    </row>
    <row r="85" spans="1:14" ht="23.25" x14ac:dyDescent="0.35">
      <c r="B85" s="286" t="s">
        <v>18</v>
      </c>
      <c r="C85" s="16" t="s">
        <v>334</v>
      </c>
      <c r="D85" s="16" t="s">
        <v>335</v>
      </c>
      <c r="E85" s="40" t="s">
        <v>336</v>
      </c>
      <c r="F85" s="16" t="s">
        <v>1419</v>
      </c>
      <c r="G85" s="858" t="s">
        <v>337</v>
      </c>
      <c r="H85" s="858" t="s">
        <v>2</v>
      </c>
      <c r="I85" s="833" t="s">
        <v>338</v>
      </c>
      <c r="J85" s="537" t="s">
        <v>1418</v>
      </c>
      <c r="K85" s="840" t="s">
        <v>2201</v>
      </c>
      <c r="L85" s="798" t="s">
        <v>690</v>
      </c>
    </row>
    <row r="86" spans="1:14" s="534" customFormat="1" hidden="1" outlineLevel="1" x14ac:dyDescent="0.25">
      <c r="A86" s="534" t="str">
        <f>IFERROR(IF(MATCH($B$85&amp;"-"&amp;$B86,'Protocol reference (numerical)'!$A$3:$A$217,0),"yes","x"),"no")</f>
        <v>no</v>
      </c>
      <c r="B86" s="594">
        <v>0</v>
      </c>
      <c r="C86" s="595" t="s">
        <v>2514</v>
      </c>
      <c r="D86" s="596" t="s">
        <v>2523</v>
      </c>
      <c r="E86" s="597" t="s">
        <v>784</v>
      </c>
      <c r="F86" s="598" t="s">
        <v>339</v>
      </c>
      <c r="G86" s="819" t="s">
        <v>421</v>
      </c>
      <c r="H86" s="599">
        <v>2005</v>
      </c>
      <c r="I86" s="600">
        <v>2030</v>
      </c>
      <c r="J86" s="555"/>
      <c r="K86" s="809"/>
      <c r="L86" s="97"/>
      <c r="M86" s="82"/>
      <c r="N86" s="82"/>
    </row>
    <row r="87" spans="1:14" ht="30" hidden="1" outlineLevel="1" x14ac:dyDescent="0.25">
      <c r="A87" s="534" t="str">
        <f>IFERROR(IF(MATCH($B$85&amp;"-"&amp;$B87,'Protocol reference (numerical)'!$A$3:$A$217,0),"yes","x"),"no")</f>
        <v>yes</v>
      </c>
      <c r="B87" s="74">
        <v>1</v>
      </c>
      <c r="C87" s="75" t="s">
        <v>404</v>
      </c>
      <c r="D87" s="76" t="s">
        <v>422</v>
      </c>
      <c r="E87" s="77" t="s">
        <v>696</v>
      </c>
      <c r="F87" s="78" t="s">
        <v>405</v>
      </c>
      <c r="G87" s="95">
        <v>420</v>
      </c>
      <c r="H87" s="80">
        <v>2015</v>
      </c>
      <c r="I87" s="81">
        <v>2030</v>
      </c>
      <c r="J87" s="174" t="s">
        <v>1407</v>
      </c>
      <c r="K87" s="619">
        <v>420</v>
      </c>
      <c r="L87" s="797" t="s">
        <v>809</v>
      </c>
      <c r="M87" s="82" t="s">
        <v>810</v>
      </c>
      <c r="N87" s="82"/>
    </row>
    <row r="88" spans="1:14" ht="30" hidden="1" outlineLevel="1" x14ac:dyDescent="0.25">
      <c r="A88" s="534" t="str">
        <f>IFERROR(IF(MATCH($B$85&amp;"-"&amp;$B88,'Protocol reference (numerical)'!$A$3:$A$217,0),"yes","x"),"no")</f>
        <v>yes</v>
      </c>
      <c r="B88" s="74">
        <v>2</v>
      </c>
      <c r="C88" s="75" t="s">
        <v>394</v>
      </c>
      <c r="D88" s="76" t="s">
        <v>423</v>
      </c>
      <c r="E88" s="83" t="s">
        <v>696</v>
      </c>
      <c r="F88" s="78" t="s">
        <v>424</v>
      </c>
      <c r="G88" s="95" t="s">
        <v>425</v>
      </c>
      <c r="H88" s="79"/>
      <c r="I88" s="81">
        <v>2025</v>
      </c>
      <c r="J88" s="174" t="s">
        <v>1412</v>
      </c>
      <c r="K88" s="619">
        <v>0.91</v>
      </c>
      <c r="L88" s="97" t="s">
        <v>2217</v>
      </c>
      <c r="M88" s="672" t="s">
        <v>811</v>
      </c>
      <c r="N88" s="672"/>
    </row>
    <row r="89" spans="1:14" ht="75" hidden="1" outlineLevel="1" x14ac:dyDescent="0.25">
      <c r="A89" s="534" t="str">
        <f>IFERROR(IF(MATCH($B$85&amp;"-"&amp;$B89,'Protocol reference (numerical)'!$A$3:$A$217,0),"yes","x"),"no")</f>
        <v>yes</v>
      </c>
      <c r="B89" s="74" t="s">
        <v>5</v>
      </c>
      <c r="C89" s="75" t="s">
        <v>1878</v>
      </c>
      <c r="D89" s="84" t="s">
        <v>436</v>
      </c>
      <c r="E89" s="77" t="s">
        <v>696</v>
      </c>
      <c r="F89" s="78"/>
      <c r="G89" s="95"/>
      <c r="H89" s="79"/>
      <c r="I89" s="81"/>
      <c r="J89" s="327" t="s">
        <v>1473</v>
      </c>
      <c r="K89" s="619" t="s">
        <v>1736</v>
      </c>
      <c r="L89" s="97" t="s">
        <v>812</v>
      </c>
      <c r="M89" s="82"/>
      <c r="N89" s="82"/>
    </row>
    <row r="90" spans="1:14" ht="45" hidden="1" outlineLevel="1" x14ac:dyDescent="0.25">
      <c r="A90" s="534" t="str">
        <f>IFERROR(IF(MATCH($B$85&amp;"-"&amp;$B90,'Protocol reference (numerical)'!$A$3:$A$217,0),"yes","x"),"no")</f>
        <v>no</v>
      </c>
      <c r="B90" s="74" t="s">
        <v>813</v>
      </c>
      <c r="C90" s="85"/>
      <c r="D90" s="84" t="s">
        <v>814</v>
      </c>
      <c r="E90" s="77" t="s">
        <v>696</v>
      </c>
      <c r="F90" s="324"/>
      <c r="G90" s="820"/>
      <c r="H90" s="325"/>
      <c r="I90" s="326"/>
      <c r="J90" s="176" t="s">
        <v>1420</v>
      </c>
      <c r="K90" s="810"/>
      <c r="L90" s="97" t="s">
        <v>2218</v>
      </c>
      <c r="M90" s="673" t="s">
        <v>1674</v>
      </c>
      <c r="N90" s="82"/>
    </row>
    <row r="91" spans="1:14" ht="30" hidden="1" outlineLevel="1" x14ac:dyDescent="0.25">
      <c r="A91" s="534" t="str">
        <f>IFERROR(IF(MATCH($B$85&amp;"-"&amp;$B91,'Protocol reference (numerical)'!$A$3:$A$217,0),"yes","x"),"no")</f>
        <v>no</v>
      </c>
      <c r="B91" s="86">
        <v>4</v>
      </c>
      <c r="C91" s="87" t="s">
        <v>815</v>
      </c>
      <c r="D91" s="76" t="s">
        <v>816</v>
      </c>
      <c r="E91" s="334" t="s">
        <v>1675</v>
      </c>
      <c r="F91" s="77" t="s">
        <v>817</v>
      </c>
      <c r="G91" s="88" t="s">
        <v>818</v>
      </c>
      <c r="H91" s="88">
        <v>2011</v>
      </c>
      <c r="I91" s="89">
        <v>2020</v>
      </c>
      <c r="J91" s="175" t="s">
        <v>1420</v>
      </c>
      <c r="K91" s="618"/>
      <c r="L91" s="97" t="s">
        <v>819</v>
      </c>
      <c r="M91" s="97" t="s">
        <v>810</v>
      </c>
      <c r="N91" s="90"/>
    </row>
    <row r="92" spans="1:14" hidden="1" outlineLevel="1" x14ac:dyDescent="0.25">
      <c r="A92" s="534" t="str">
        <f>IFERROR(IF(MATCH($B$85&amp;"-"&amp;$B92,'Protocol reference (numerical)'!$A$3:$A$217,0),"yes","x"),"no")</f>
        <v>no</v>
      </c>
      <c r="B92" s="86"/>
      <c r="C92" s="87"/>
      <c r="D92" s="76"/>
      <c r="E92" s="54"/>
      <c r="F92" s="77" t="s">
        <v>820</v>
      </c>
      <c r="G92" s="88" t="s">
        <v>821</v>
      </c>
      <c r="H92" s="88"/>
      <c r="I92" s="89">
        <v>2020</v>
      </c>
      <c r="J92" s="175" t="s">
        <v>1420</v>
      </c>
      <c r="K92" s="618"/>
      <c r="L92" s="97"/>
      <c r="M92" s="97"/>
      <c r="N92" s="90"/>
    </row>
    <row r="93" spans="1:14" ht="30" hidden="1" outlineLevel="1" x14ac:dyDescent="0.25">
      <c r="A93" s="534" t="str">
        <f>IFERROR(IF(MATCH($B$85&amp;"-"&amp;$B93,'Protocol reference (numerical)'!$A$3:$A$217,0),"yes","x"),"no")</f>
        <v>yes</v>
      </c>
      <c r="B93" s="74" t="s">
        <v>33</v>
      </c>
      <c r="C93" s="75" t="s">
        <v>427</v>
      </c>
      <c r="D93" s="76" t="s">
        <v>428</v>
      </c>
      <c r="E93" s="77" t="s">
        <v>696</v>
      </c>
      <c r="F93" s="91" t="s">
        <v>429</v>
      </c>
      <c r="G93" s="821">
        <v>0.05</v>
      </c>
      <c r="H93" s="80"/>
      <c r="I93" s="92" t="s">
        <v>430</v>
      </c>
      <c r="J93" s="176" t="s">
        <v>1420</v>
      </c>
      <c r="K93" s="811">
        <v>0.05</v>
      </c>
      <c r="L93" s="1293" t="s">
        <v>822</v>
      </c>
      <c r="M93" s="82"/>
      <c r="N93" s="82"/>
    </row>
    <row r="94" spans="1:14" hidden="1" outlineLevel="1" x14ac:dyDescent="0.25">
      <c r="A94" s="534" t="str">
        <f>IFERROR(IF(MATCH($B$85&amp;"-"&amp;$B94,'Protocol reference (numerical)'!$A$3:$A$217,0),"yes","x"),"no")</f>
        <v>yes</v>
      </c>
      <c r="B94" s="74" t="s">
        <v>561</v>
      </c>
      <c r="C94" s="75"/>
      <c r="D94" s="93"/>
      <c r="E94" s="77"/>
      <c r="F94" s="91" t="s">
        <v>431</v>
      </c>
      <c r="G94" s="821">
        <v>0.02</v>
      </c>
      <c r="H94" s="80"/>
      <c r="I94" s="92" t="s">
        <v>430</v>
      </c>
      <c r="J94" s="176" t="s">
        <v>1420</v>
      </c>
      <c r="K94" s="811">
        <v>0.02</v>
      </c>
      <c r="L94" s="1293"/>
      <c r="M94" s="82" t="s">
        <v>2219</v>
      </c>
      <c r="N94" s="82"/>
    </row>
    <row r="95" spans="1:14" s="290" customFormat="1" hidden="1" outlineLevel="1" x14ac:dyDescent="0.25">
      <c r="A95" s="534" t="str">
        <f>IFERROR(IF(MATCH($B$85&amp;"-"&amp;$B95,'Protocol reference (numerical)'!$A$3:$A$217,0),"yes","x"),"no")</f>
        <v>yes</v>
      </c>
      <c r="B95" s="74" t="s">
        <v>1216</v>
      </c>
      <c r="C95" s="312"/>
      <c r="D95" s="313"/>
      <c r="E95" s="314"/>
      <c r="F95" s="315" t="s">
        <v>407</v>
      </c>
      <c r="G95" s="822"/>
      <c r="H95" s="316"/>
      <c r="I95" s="92"/>
      <c r="J95" s="176" t="s">
        <v>1464</v>
      </c>
      <c r="K95" s="831">
        <v>3.6999999999999998E-2</v>
      </c>
      <c r="L95" s="670" t="s">
        <v>2261</v>
      </c>
      <c r="M95" s="82"/>
      <c r="N95" s="82"/>
    </row>
    <row r="96" spans="1:14" ht="45" hidden="1" outlineLevel="1" x14ac:dyDescent="0.25">
      <c r="A96" s="534" t="str">
        <f>IFERROR(IF(MATCH($B$85&amp;"-"&amp;$B96,'Protocol reference (numerical)'!$A$3:$A$217,0),"yes","x"),"no")</f>
        <v>no</v>
      </c>
      <c r="B96" s="86">
        <v>7</v>
      </c>
      <c r="C96" s="94" t="s">
        <v>823</v>
      </c>
      <c r="D96" s="76" t="s">
        <v>824</v>
      </c>
      <c r="E96" s="54" t="s">
        <v>696</v>
      </c>
      <c r="F96" s="83" t="s">
        <v>682</v>
      </c>
      <c r="G96" s="95" t="s">
        <v>825</v>
      </c>
      <c r="H96" s="95">
        <v>2015</v>
      </c>
      <c r="I96" s="96">
        <v>2025</v>
      </c>
      <c r="J96" s="175" t="s">
        <v>1420</v>
      </c>
      <c r="K96" s="619"/>
      <c r="L96" s="797" t="s">
        <v>826</v>
      </c>
      <c r="M96" s="97" t="s">
        <v>810</v>
      </c>
      <c r="N96" s="97"/>
    </row>
    <row r="97" spans="1:14" ht="30" hidden="1" outlineLevel="1" x14ac:dyDescent="0.25">
      <c r="A97" s="534" t="str">
        <f>IFERROR(IF(MATCH($B$85&amp;"-"&amp;$B97,'Protocol reference (numerical)'!$A$3:$A$217,0),"yes","x"),"no")</f>
        <v>no</v>
      </c>
      <c r="B97" s="74">
        <v>9</v>
      </c>
      <c r="C97" s="75" t="s">
        <v>432</v>
      </c>
      <c r="D97" s="76" t="s">
        <v>433</v>
      </c>
      <c r="E97" s="83" t="s">
        <v>696</v>
      </c>
      <c r="F97" s="78" t="s">
        <v>363</v>
      </c>
      <c r="G97" s="95">
        <v>0</v>
      </c>
      <c r="H97" s="79"/>
      <c r="I97" s="81" t="s">
        <v>434</v>
      </c>
      <c r="J97" s="176" t="s">
        <v>1420</v>
      </c>
      <c r="K97" s="619"/>
      <c r="L97" s="97"/>
      <c r="M97" s="82"/>
      <c r="N97" s="82"/>
    </row>
    <row r="98" spans="1:14" ht="60" hidden="1" outlineLevel="1" x14ac:dyDescent="0.25">
      <c r="A98" s="534" t="str">
        <f>IFERROR(IF(MATCH($B$85&amp;"-"&amp;$B98,'Protocol reference (numerical)'!$A$3:$A$217,0),"yes","x"),"no")</f>
        <v>no</v>
      </c>
      <c r="B98" s="74">
        <v>10</v>
      </c>
      <c r="C98" s="75" t="s">
        <v>435</v>
      </c>
      <c r="D98" s="93" t="s">
        <v>827</v>
      </c>
      <c r="E98" s="77" t="s">
        <v>696</v>
      </c>
      <c r="F98" s="78"/>
      <c r="G98" s="95"/>
      <c r="H98" s="79"/>
      <c r="I98" s="81"/>
      <c r="J98" s="174" t="s">
        <v>1420</v>
      </c>
      <c r="K98" s="619"/>
      <c r="L98" s="97" t="s">
        <v>2220</v>
      </c>
      <c r="M98" s="673" t="s">
        <v>828</v>
      </c>
      <c r="N98" s="622"/>
    </row>
    <row r="99" spans="1:14" ht="45" hidden="1" outlineLevel="1" x14ac:dyDescent="0.25">
      <c r="A99" s="534" t="str">
        <f>IFERROR(IF(MATCH($B$85&amp;"-"&amp;$B99,'Protocol reference (numerical)'!$A$3:$A$217,0),"yes","x"),"no")</f>
        <v>yes</v>
      </c>
      <c r="B99" s="74">
        <v>5</v>
      </c>
      <c r="C99" s="75" t="s">
        <v>2492</v>
      </c>
      <c r="D99" s="76" t="s">
        <v>426</v>
      </c>
      <c r="E99" s="77" t="s">
        <v>829</v>
      </c>
      <c r="F99" s="91" t="s">
        <v>399</v>
      </c>
      <c r="G99" s="88" t="s">
        <v>400</v>
      </c>
      <c r="H99" s="80">
        <v>2010</v>
      </c>
      <c r="I99" s="92">
        <v>2025</v>
      </c>
      <c r="J99" s="176" t="s">
        <v>1412</v>
      </c>
      <c r="K99" s="618" t="s">
        <v>2223</v>
      </c>
      <c r="L99" s="97" t="s">
        <v>2221</v>
      </c>
      <c r="M99" s="82" t="s">
        <v>2222</v>
      </c>
      <c r="N99" s="82"/>
    </row>
    <row r="100" spans="1:14" s="534" customFormat="1" hidden="1" outlineLevel="1" x14ac:dyDescent="0.25">
      <c r="A100" s="534" t="str">
        <f>IFERROR(IF(MATCH($B$85&amp;"-"&amp;$B100,'Protocol reference (numerical)'!$A$3:$A$217,0),"yes","x"),"no")</f>
        <v>yes</v>
      </c>
      <c r="B100" s="1179">
        <v>11</v>
      </c>
      <c r="C100" s="75" t="s">
        <v>2493</v>
      </c>
      <c r="D100" s="1154"/>
      <c r="E100" s="1155"/>
      <c r="F100" s="1156"/>
      <c r="G100" s="1157"/>
      <c r="H100" s="1158"/>
      <c r="I100" s="1159"/>
      <c r="J100" s="176"/>
      <c r="K100" s="618"/>
      <c r="L100" s="97"/>
      <c r="M100" s="82"/>
      <c r="N100" s="82"/>
    </row>
    <row r="101" spans="1:14" ht="45" hidden="1" outlineLevel="1" x14ac:dyDescent="0.25">
      <c r="A101" s="534" t="str">
        <f>IFERROR(IF(MATCH($B$85&amp;"-"&amp;$B101,'Protocol reference (numerical)'!$A$3:$A$217,0),"yes","x"),"no")</f>
        <v>no</v>
      </c>
      <c r="B101" s="98">
        <v>8</v>
      </c>
      <c r="C101" s="99" t="s">
        <v>437</v>
      </c>
      <c r="D101" s="100" t="s">
        <v>438</v>
      </c>
      <c r="E101" s="101" t="s">
        <v>784</v>
      </c>
      <c r="F101" s="102" t="s">
        <v>439</v>
      </c>
      <c r="G101" s="823">
        <v>0.3</v>
      </c>
      <c r="H101" s="103"/>
      <c r="I101" s="104">
        <v>2025</v>
      </c>
      <c r="J101" s="621" t="s">
        <v>784</v>
      </c>
      <c r="K101" s="812"/>
      <c r="L101" s="97" t="s">
        <v>830</v>
      </c>
      <c r="M101" s="82" t="s">
        <v>831</v>
      </c>
      <c r="N101" s="82"/>
    </row>
    <row r="102" spans="1:14" collapsed="1" x14ac:dyDescent="0.25">
      <c r="B102" s="105"/>
      <c r="D102" s="3"/>
      <c r="F102" s="3"/>
      <c r="H102" s="832"/>
      <c r="I102" s="832"/>
      <c r="J102" s="3"/>
    </row>
    <row r="103" spans="1:14" ht="23.25" x14ac:dyDescent="0.35">
      <c r="B103" s="389" t="s">
        <v>11</v>
      </c>
      <c r="C103" s="387" t="s">
        <v>334</v>
      </c>
      <c r="D103" s="387" t="s">
        <v>335</v>
      </c>
      <c r="E103" s="540" t="s">
        <v>336</v>
      </c>
      <c r="F103" s="387" t="s">
        <v>1419</v>
      </c>
      <c r="G103" s="858" t="s">
        <v>337</v>
      </c>
      <c r="H103" s="858" t="s">
        <v>2</v>
      </c>
      <c r="I103" s="833" t="s">
        <v>338</v>
      </c>
      <c r="J103" s="388" t="s">
        <v>1418</v>
      </c>
      <c r="K103" s="840" t="s">
        <v>2201</v>
      </c>
      <c r="L103" s="798" t="s">
        <v>690</v>
      </c>
    </row>
    <row r="104" spans="1:14" hidden="1" outlineLevel="1" x14ac:dyDescent="0.25">
      <c r="A104" s="534" t="str">
        <f>IFERROR(IF(MATCH($B$130&amp;"-"&amp;$B104,'Protocol reference (numerical)'!$A$3:$A$217,0),"yes","x"),"no")</f>
        <v>no</v>
      </c>
      <c r="B104" s="1167" t="s">
        <v>1743</v>
      </c>
      <c r="C104" s="390" t="s">
        <v>2514</v>
      </c>
      <c r="D104" s="423" t="s">
        <v>2524</v>
      </c>
      <c r="E104" s="515" t="s">
        <v>784</v>
      </c>
      <c r="F104" s="426" t="s">
        <v>1763</v>
      </c>
      <c r="G104" s="578" t="s">
        <v>1764</v>
      </c>
      <c r="H104" s="522">
        <v>2005</v>
      </c>
      <c r="I104" s="875">
        <v>2030</v>
      </c>
      <c r="J104" s="409" t="s">
        <v>1404</v>
      </c>
      <c r="K104" s="606" t="s">
        <v>1765</v>
      </c>
    </row>
    <row r="105" spans="1:14" hidden="1" outlineLevel="1" x14ac:dyDescent="0.25">
      <c r="A105" s="534" t="str">
        <f>IFERROR(IF(MATCH($B$130&amp;"-"&amp;$B105,'Protocol reference (numerical)'!$A$3:$A$217,0),"yes","x"),"no")</f>
        <v>no</v>
      </c>
      <c r="B105" s="1168" t="s">
        <v>1747</v>
      </c>
      <c r="C105" s="403" t="s">
        <v>1766</v>
      </c>
      <c r="D105" s="425" t="s">
        <v>2524</v>
      </c>
      <c r="E105" s="515" t="s">
        <v>784</v>
      </c>
      <c r="F105" s="428" t="s">
        <v>1767</v>
      </c>
      <c r="G105" s="824">
        <v>0.2</v>
      </c>
      <c r="H105" s="503"/>
      <c r="I105" s="875">
        <v>2030</v>
      </c>
      <c r="J105" s="409" t="s">
        <v>1406</v>
      </c>
      <c r="K105" s="624">
        <v>0.2</v>
      </c>
    </row>
    <row r="106" spans="1:14" hidden="1" outlineLevel="1" x14ac:dyDescent="0.25">
      <c r="A106" s="534" t="str">
        <f>IFERROR(IF(MATCH($B$130&amp;"-"&amp;$B106,'Protocol reference (numerical)'!$A$3:$A$217,0),"yes","x"),"no")</f>
        <v>no</v>
      </c>
      <c r="B106" s="1180" t="s">
        <v>1768</v>
      </c>
      <c r="C106" s="391" t="s">
        <v>1769</v>
      </c>
      <c r="D106" s="424" t="s">
        <v>2524</v>
      </c>
      <c r="E106" s="515" t="s">
        <v>784</v>
      </c>
      <c r="F106" s="427" t="s">
        <v>1769</v>
      </c>
      <c r="G106" s="824">
        <v>0.35</v>
      </c>
      <c r="H106" s="860">
        <v>2010</v>
      </c>
      <c r="I106" s="875">
        <v>2020</v>
      </c>
      <c r="J106" s="409" t="s">
        <v>54</v>
      </c>
      <c r="K106" s="624"/>
      <c r="L106" s="791" t="s">
        <v>2224</v>
      </c>
    </row>
    <row r="107" spans="1:14" hidden="1" outlineLevel="1" x14ac:dyDescent="0.25">
      <c r="A107" s="534" t="str">
        <f>IFERROR(IF(MATCH($B$130&amp;"-"&amp;$B107,'Protocol reference (numerical)'!$A$3:$A$217,0),"yes","x"),"no")</f>
        <v>no</v>
      </c>
      <c r="B107" s="1180" t="s">
        <v>1770</v>
      </c>
      <c r="C107" s="391" t="s">
        <v>1769</v>
      </c>
      <c r="D107" s="424" t="s">
        <v>2524</v>
      </c>
      <c r="E107" s="515" t="s">
        <v>784</v>
      </c>
      <c r="F107" s="427" t="s">
        <v>1769</v>
      </c>
      <c r="G107" s="824">
        <v>0.67500000000000004</v>
      </c>
      <c r="H107" s="860">
        <v>2010</v>
      </c>
      <c r="I107" s="875">
        <v>2025</v>
      </c>
      <c r="J107" s="409" t="s">
        <v>54</v>
      </c>
      <c r="K107" s="624"/>
      <c r="L107" s="791" t="s">
        <v>2224</v>
      </c>
    </row>
    <row r="108" spans="1:14" hidden="1" outlineLevel="1" x14ac:dyDescent="0.25">
      <c r="A108" s="534" t="str">
        <f>IFERROR(IF(MATCH($B$130&amp;"-"&amp;$B108,'Protocol reference (numerical)'!$A$3:$A$217,0),"yes","x"),"no")</f>
        <v>no</v>
      </c>
      <c r="B108" s="1168" t="s">
        <v>1771</v>
      </c>
      <c r="C108" s="403" t="s">
        <v>1772</v>
      </c>
      <c r="D108" s="425" t="s">
        <v>2524</v>
      </c>
      <c r="E108" s="515" t="s">
        <v>784</v>
      </c>
      <c r="F108" s="428" t="s">
        <v>1773</v>
      </c>
      <c r="G108" s="574" t="s">
        <v>1774</v>
      </c>
      <c r="H108" s="503">
        <v>2005</v>
      </c>
      <c r="I108" s="876">
        <v>2030</v>
      </c>
      <c r="J108" s="411" t="s">
        <v>1417</v>
      </c>
      <c r="K108" s="631" t="s">
        <v>1774</v>
      </c>
    </row>
    <row r="109" spans="1:14" hidden="1" outlineLevel="1" x14ac:dyDescent="0.25">
      <c r="A109" s="534" t="str">
        <f>IFERROR(IF(MATCH($B$130&amp;"-"&amp;$B109,'Protocol reference (numerical)'!$A$3:$A$217,0),"yes","x"),"no")</f>
        <v>no</v>
      </c>
      <c r="B109" s="422" t="s">
        <v>700</v>
      </c>
      <c r="C109" s="393" t="s">
        <v>833</v>
      </c>
      <c r="D109" s="392" t="s">
        <v>832</v>
      </c>
      <c r="E109" s="393" t="s">
        <v>696</v>
      </c>
      <c r="F109" s="393" t="s">
        <v>834</v>
      </c>
      <c r="G109" s="825">
        <v>0.15</v>
      </c>
      <c r="H109" s="523"/>
      <c r="I109" s="527">
        <v>2020</v>
      </c>
      <c r="J109" s="410" t="s">
        <v>1406</v>
      </c>
      <c r="K109" s="628">
        <v>0.15</v>
      </c>
      <c r="L109" s="791" t="s">
        <v>835</v>
      </c>
    </row>
    <row r="110" spans="1:14" hidden="1" outlineLevel="1" x14ac:dyDescent="0.25">
      <c r="A110" s="534" t="str">
        <f>IFERROR(IF(MATCH($B$130&amp;"-"&amp;$B110,'Protocol reference (numerical)'!$A$3:$A$217,0),"yes","x"),"no")</f>
        <v>no</v>
      </c>
      <c r="B110" s="422" t="s">
        <v>725</v>
      </c>
      <c r="C110" s="393"/>
      <c r="D110" s="392" t="s">
        <v>838</v>
      </c>
      <c r="E110" s="393" t="s">
        <v>784</v>
      </c>
      <c r="F110" s="393" t="s">
        <v>851</v>
      </c>
      <c r="G110" s="825">
        <v>0.2</v>
      </c>
      <c r="H110" s="523"/>
      <c r="I110" s="527">
        <v>2030</v>
      </c>
      <c r="J110" s="405" t="s">
        <v>1406</v>
      </c>
      <c r="K110" s="628">
        <v>0.2</v>
      </c>
    </row>
    <row r="111" spans="1:14" ht="90" hidden="1" outlineLevel="1" x14ac:dyDescent="0.25">
      <c r="A111" s="534" t="str">
        <f>IFERROR(IF(MATCH($B$130&amp;"-"&amp;$B111,'Protocol reference (numerical)'!$A$3:$A$217,0),"yes","x"),"no")</f>
        <v>no</v>
      </c>
      <c r="B111" s="422" t="s">
        <v>907</v>
      </c>
      <c r="C111" s="386"/>
      <c r="D111" s="392" t="s">
        <v>908</v>
      </c>
      <c r="E111" s="393" t="s">
        <v>696</v>
      </c>
      <c r="F111" s="393" t="s">
        <v>1549</v>
      </c>
      <c r="G111" s="230" t="s">
        <v>1550</v>
      </c>
      <c r="H111" s="523"/>
      <c r="I111" s="527">
        <v>2020</v>
      </c>
      <c r="J111" s="406" t="s">
        <v>955</v>
      </c>
      <c r="K111" s="630" t="s">
        <v>1775</v>
      </c>
      <c r="L111" s="791" t="s">
        <v>1776</v>
      </c>
    </row>
    <row r="112" spans="1:14" s="534" customFormat="1" hidden="1" outlineLevel="1" x14ac:dyDescent="0.25">
      <c r="A112" s="534" t="str">
        <f>IFERROR(IF(MATCH($B$130&amp;"-"&amp;$B112,'Protocol reference (numerical)'!$A$3:$A$217,0),"yes","x"),"no")</f>
        <v>no</v>
      </c>
      <c r="B112" s="422">
        <v>2</v>
      </c>
      <c r="C112" s="535" t="s">
        <v>2495</v>
      </c>
      <c r="D112" s="543" t="s">
        <v>838</v>
      </c>
      <c r="E112" s="544"/>
      <c r="F112" s="544"/>
      <c r="G112" s="230"/>
      <c r="H112" s="523"/>
      <c r="I112" s="527"/>
      <c r="J112" s="406"/>
      <c r="K112" s="630"/>
      <c r="L112" s="791"/>
      <c r="M112" s="791"/>
      <c r="N112" s="669"/>
    </row>
    <row r="113" spans="1:12" ht="30" hidden="1" outlineLevel="1" x14ac:dyDescent="0.25">
      <c r="A113" s="534" t="str">
        <f>IFERROR(IF(MATCH($B$130&amp;"-"&amp;$B113,'Protocol reference (numerical)'!$A$3:$A$217,0),"yes","x"),"no")</f>
        <v>no</v>
      </c>
      <c r="B113" s="422" t="s">
        <v>34</v>
      </c>
      <c r="C113" s="393" t="s">
        <v>837</v>
      </c>
      <c r="D113" s="392" t="s">
        <v>838</v>
      </c>
      <c r="E113" s="393" t="s">
        <v>696</v>
      </c>
      <c r="F113" s="393" t="s">
        <v>839</v>
      </c>
      <c r="G113" s="226" t="s">
        <v>1777</v>
      </c>
      <c r="H113" s="523"/>
      <c r="I113" s="527">
        <v>2020</v>
      </c>
      <c r="J113" s="406"/>
      <c r="K113" s="626" t="s">
        <v>1777</v>
      </c>
    </row>
    <row r="114" spans="1:12" hidden="1" outlineLevel="1" x14ac:dyDescent="0.25">
      <c r="A114" s="534" t="str">
        <f>IFERROR(IF(MATCH($B$130&amp;"-"&amp;$B114,'Protocol reference (numerical)'!$A$3:$A$217,0),"yes","x"),"no")</f>
        <v>no</v>
      </c>
      <c r="B114" s="422" t="s">
        <v>708</v>
      </c>
      <c r="C114" s="393" t="s">
        <v>840</v>
      </c>
      <c r="D114" s="392" t="s">
        <v>838</v>
      </c>
      <c r="E114" s="393" t="s">
        <v>696</v>
      </c>
      <c r="F114" s="393" t="s">
        <v>444</v>
      </c>
      <c r="G114" s="226" t="s">
        <v>841</v>
      </c>
      <c r="H114" s="523"/>
      <c r="I114" s="527">
        <v>2020</v>
      </c>
      <c r="J114" s="410" t="s">
        <v>1408</v>
      </c>
      <c r="K114" s="626" t="s">
        <v>841</v>
      </c>
    </row>
    <row r="115" spans="1:12" hidden="1" outlineLevel="1" x14ac:dyDescent="0.25">
      <c r="A115" s="534" t="str">
        <f>IFERROR(IF(MATCH($B$130&amp;"-"&amp;$B115,'Protocol reference (numerical)'!$A$3:$A$217,0),"yes","x"),"no")</f>
        <v>no</v>
      </c>
      <c r="B115" s="422" t="s">
        <v>709</v>
      </c>
      <c r="C115" s="393" t="s">
        <v>842</v>
      </c>
      <c r="D115" s="392" t="s">
        <v>838</v>
      </c>
      <c r="E115" s="393" t="s">
        <v>696</v>
      </c>
      <c r="F115" s="393" t="s">
        <v>445</v>
      </c>
      <c r="G115" s="226" t="s">
        <v>843</v>
      </c>
      <c r="H115" s="523"/>
      <c r="I115" s="527">
        <v>2020</v>
      </c>
      <c r="J115" s="410" t="s">
        <v>1408</v>
      </c>
      <c r="K115" s="626" t="s">
        <v>843</v>
      </c>
    </row>
    <row r="116" spans="1:12" hidden="1" outlineLevel="1" x14ac:dyDescent="0.25">
      <c r="A116" s="534" t="str">
        <f>IFERROR(IF(MATCH($B$130&amp;"-"&amp;$B116,'Protocol reference (numerical)'!$A$3:$A$217,0),"yes","x"),"no")</f>
        <v>no</v>
      </c>
      <c r="B116" s="422" t="s">
        <v>710</v>
      </c>
      <c r="C116" s="393" t="s">
        <v>844</v>
      </c>
      <c r="D116" s="392" t="s">
        <v>838</v>
      </c>
      <c r="E116" s="393" t="s">
        <v>696</v>
      </c>
      <c r="F116" s="393" t="s">
        <v>845</v>
      </c>
      <c r="G116" s="226" t="s">
        <v>846</v>
      </c>
      <c r="H116" s="523"/>
      <c r="I116" s="527">
        <v>2020</v>
      </c>
      <c r="J116" s="410" t="s">
        <v>1408</v>
      </c>
      <c r="K116" s="626" t="s">
        <v>846</v>
      </c>
    </row>
    <row r="117" spans="1:12" hidden="1" outlineLevel="1" x14ac:dyDescent="0.25">
      <c r="A117" s="534" t="str">
        <f>IFERROR(IF(MATCH($B$130&amp;"-"&amp;$B117,'Protocol reference (numerical)'!$A$3:$A$217,0),"yes","x"),"no")</f>
        <v>no</v>
      </c>
      <c r="B117" s="422" t="s">
        <v>711</v>
      </c>
      <c r="C117" s="393" t="s">
        <v>847</v>
      </c>
      <c r="D117" s="392" t="s">
        <v>838</v>
      </c>
      <c r="E117" s="393" t="s">
        <v>696</v>
      </c>
      <c r="F117" s="393" t="s">
        <v>848</v>
      </c>
      <c r="G117" s="226" t="s">
        <v>849</v>
      </c>
      <c r="H117" s="523"/>
      <c r="I117" s="527">
        <v>2020</v>
      </c>
      <c r="J117" s="410" t="s">
        <v>1408</v>
      </c>
      <c r="K117" s="626" t="s">
        <v>849</v>
      </c>
    </row>
    <row r="118" spans="1:12" ht="120" hidden="1" outlineLevel="1" x14ac:dyDescent="0.25">
      <c r="A118" s="534" t="str">
        <f>IFERROR(IF(MATCH($B$130&amp;"-"&amp;$B118,'Protocol reference (numerical)'!$A$3:$A$217,0),"yes","x"),"no")</f>
        <v>no</v>
      </c>
      <c r="B118" s="422" t="s">
        <v>716</v>
      </c>
      <c r="C118" s="393"/>
      <c r="D118" s="392" t="s">
        <v>838</v>
      </c>
      <c r="E118" s="393" t="s">
        <v>696</v>
      </c>
      <c r="F118" s="400" t="s">
        <v>850</v>
      </c>
      <c r="G118" s="329" t="s">
        <v>1778</v>
      </c>
      <c r="H118" s="523"/>
      <c r="I118" s="527">
        <v>2020</v>
      </c>
      <c r="J118" s="406"/>
      <c r="K118" s="630" t="s">
        <v>1779</v>
      </c>
      <c r="L118" s="791" t="s">
        <v>1586</v>
      </c>
    </row>
    <row r="119" spans="1:12" ht="30" hidden="1" outlineLevel="1" x14ac:dyDescent="0.25">
      <c r="A119" s="534" t="str">
        <f>IFERROR(IF(MATCH($B$130&amp;"-"&amp;$B119,'Protocol reference (numerical)'!$A$3:$A$217,0),"yes","x"),"no")</f>
        <v>no</v>
      </c>
      <c r="B119" s="422" t="s">
        <v>852</v>
      </c>
      <c r="C119" s="393"/>
      <c r="D119" s="392" t="s">
        <v>838</v>
      </c>
      <c r="E119" s="393" t="s">
        <v>696</v>
      </c>
      <c r="F119" s="400" t="s">
        <v>853</v>
      </c>
      <c r="G119" s="329" t="s">
        <v>854</v>
      </c>
      <c r="H119" s="412"/>
      <c r="I119" s="415">
        <v>2020</v>
      </c>
      <c r="J119" s="406"/>
      <c r="K119" s="630"/>
    </row>
    <row r="120" spans="1:12" hidden="1" outlineLevel="1" x14ac:dyDescent="0.25">
      <c r="A120" s="534" t="str">
        <f>IFERROR(IF(MATCH($B$130&amp;"-"&amp;$B120,'Protocol reference (numerical)'!$A$3:$A$217,0),"yes","x"),"no")</f>
        <v>no</v>
      </c>
      <c r="B120" s="422" t="s">
        <v>855</v>
      </c>
      <c r="C120" s="393"/>
      <c r="D120" s="392" t="s">
        <v>838</v>
      </c>
      <c r="E120" s="393" t="s">
        <v>696</v>
      </c>
      <c r="F120" s="400" t="s">
        <v>856</v>
      </c>
      <c r="G120" s="230">
        <v>0.62</v>
      </c>
      <c r="H120" s="412"/>
      <c r="I120" s="415">
        <v>2020</v>
      </c>
      <c r="J120" s="406"/>
      <c r="K120" s="630"/>
    </row>
    <row r="121" spans="1:12" ht="30" hidden="1" outlineLevel="1" x14ac:dyDescent="0.25">
      <c r="A121" s="534" t="str">
        <f>IFERROR(IF(MATCH($B$130&amp;"-"&amp;$B121,'Protocol reference (numerical)'!$A$3:$A$217,0),"yes","x"),"no")</f>
        <v>no</v>
      </c>
      <c r="B121" s="422" t="s">
        <v>5</v>
      </c>
      <c r="C121" s="393" t="s">
        <v>859</v>
      </c>
      <c r="D121" s="392" t="s">
        <v>860</v>
      </c>
      <c r="E121" s="393" t="s">
        <v>696</v>
      </c>
      <c r="F121" s="400" t="s">
        <v>861</v>
      </c>
      <c r="G121" s="226" t="s">
        <v>862</v>
      </c>
      <c r="H121" s="523">
        <v>2016</v>
      </c>
      <c r="I121" s="527" t="s">
        <v>863</v>
      </c>
      <c r="J121" s="405" t="s">
        <v>1416</v>
      </c>
      <c r="K121" s="626"/>
      <c r="L121" s="791" t="s">
        <v>1410</v>
      </c>
    </row>
    <row r="122" spans="1:12" ht="30" hidden="1" outlineLevel="1" x14ac:dyDescent="0.25">
      <c r="A122" s="534" t="str">
        <f>IFERROR(IF(MATCH($B$130&amp;"-"&amp;$B122,'Protocol reference (numerical)'!$A$3:$A$217,0),"yes","x"),"no")</f>
        <v>no</v>
      </c>
      <c r="B122" s="422" t="s">
        <v>813</v>
      </c>
      <c r="C122" s="393" t="s">
        <v>864</v>
      </c>
      <c r="D122" s="392" t="s">
        <v>860</v>
      </c>
      <c r="E122" s="393" t="s">
        <v>696</v>
      </c>
      <c r="F122" s="400" t="s">
        <v>865</v>
      </c>
      <c r="G122" s="226" t="s">
        <v>866</v>
      </c>
      <c r="H122" s="523">
        <v>2016</v>
      </c>
      <c r="I122" s="527"/>
      <c r="J122" s="405" t="s">
        <v>1416</v>
      </c>
      <c r="K122" s="626"/>
      <c r="L122" s="791" t="s">
        <v>1410</v>
      </c>
    </row>
    <row r="123" spans="1:12" ht="30" hidden="1" outlineLevel="1" x14ac:dyDescent="0.25">
      <c r="A123" s="534" t="str">
        <f>IFERROR(IF(MATCH($B$130&amp;"-"&amp;$B123,'Protocol reference (numerical)'!$A$3:$A$217,0),"yes","x"),"no")</f>
        <v>no</v>
      </c>
      <c r="B123" s="422" t="s">
        <v>867</v>
      </c>
      <c r="C123" s="393" t="s">
        <v>868</v>
      </c>
      <c r="D123" s="392" t="s">
        <v>860</v>
      </c>
      <c r="E123" s="393" t="s">
        <v>696</v>
      </c>
      <c r="F123" s="400" t="s">
        <v>869</v>
      </c>
      <c r="G123" s="226" t="s">
        <v>870</v>
      </c>
      <c r="H123" s="523"/>
      <c r="I123" s="527" t="s">
        <v>434</v>
      </c>
      <c r="J123" s="405" t="s">
        <v>1416</v>
      </c>
      <c r="K123" s="626"/>
      <c r="L123" s="791" t="s">
        <v>1410</v>
      </c>
    </row>
    <row r="124" spans="1:12" hidden="1" outlineLevel="1" x14ac:dyDescent="0.25">
      <c r="A124" s="534" t="str">
        <f>IFERROR(IF(MATCH($B$130&amp;"-"&amp;$B124,'Protocol reference (numerical)'!$A$3:$A$217,0),"yes","x"),"no")</f>
        <v>no</v>
      </c>
      <c r="B124" s="422" t="s">
        <v>871</v>
      </c>
      <c r="C124" s="393"/>
      <c r="D124" s="392" t="s">
        <v>860</v>
      </c>
      <c r="E124" s="393" t="s">
        <v>696</v>
      </c>
      <c r="F124" s="400" t="s">
        <v>872</v>
      </c>
      <c r="G124" s="226" t="s">
        <v>873</v>
      </c>
      <c r="H124" s="523"/>
      <c r="I124" s="527" t="s">
        <v>434</v>
      </c>
      <c r="J124" s="405" t="s">
        <v>1416</v>
      </c>
      <c r="K124" s="626"/>
      <c r="L124" s="791" t="s">
        <v>1410</v>
      </c>
    </row>
    <row r="125" spans="1:12" ht="45" hidden="1" outlineLevel="1" x14ac:dyDescent="0.25">
      <c r="A125" s="534" t="str">
        <f>IFERROR(IF(MATCH($B$130&amp;"-"&amp;$B125,'Protocol reference (numerical)'!$A$3:$A$217,0),"yes","x"),"no")</f>
        <v>no</v>
      </c>
      <c r="B125" s="422" t="s">
        <v>351</v>
      </c>
      <c r="C125" s="393" t="s">
        <v>874</v>
      </c>
      <c r="D125" s="413" t="s">
        <v>875</v>
      </c>
      <c r="E125" s="393" t="s">
        <v>696</v>
      </c>
      <c r="F125" s="400" t="s">
        <v>876</v>
      </c>
      <c r="G125" s="226" t="s">
        <v>877</v>
      </c>
      <c r="H125" s="523"/>
      <c r="I125" s="527">
        <v>2020</v>
      </c>
      <c r="J125" s="406" t="s">
        <v>1411</v>
      </c>
      <c r="K125" s="841">
        <v>1.4999999999999999E-2</v>
      </c>
      <c r="L125" s="791" t="s">
        <v>1528</v>
      </c>
    </row>
    <row r="126" spans="1:12" ht="30" hidden="1" outlineLevel="1" x14ac:dyDescent="0.25">
      <c r="A126" s="534" t="str">
        <f>IFERROR(IF(MATCH($B$130&amp;"-"&amp;$B126,'Protocol reference (numerical)'!$A$3:$A$217,0),"yes","x"),"no")</f>
        <v>no</v>
      </c>
      <c r="B126" s="422" t="s">
        <v>355</v>
      </c>
      <c r="C126" s="393"/>
      <c r="D126" s="413" t="s">
        <v>878</v>
      </c>
      <c r="E126" s="393" t="s">
        <v>696</v>
      </c>
      <c r="F126" s="400" t="s">
        <v>879</v>
      </c>
      <c r="G126" s="329" t="s">
        <v>1529</v>
      </c>
      <c r="H126" s="877"/>
      <c r="I126" s="415">
        <v>2020</v>
      </c>
      <c r="J126" s="405"/>
      <c r="K126" s="626" t="s">
        <v>1530</v>
      </c>
      <c r="L126" s="791" t="s">
        <v>1531</v>
      </c>
    </row>
    <row r="127" spans="1:12" ht="75" hidden="1" outlineLevel="1" x14ac:dyDescent="0.25">
      <c r="A127" s="534" t="str">
        <f>IFERROR(IF(MATCH($B$130&amp;"-"&amp;$B127,'Protocol reference (numerical)'!$A$3:$A$217,0),"yes","x"),"no")</f>
        <v>no</v>
      </c>
      <c r="B127" s="422">
        <v>5</v>
      </c>
      <c r="C127" s="393" t="s">
        <v>882</v>
      </c>
      <c r="D127" s="413" t="s">
        <v>883</v>
      </c>
      <c r="E127" s="393" t="s">
        <v>696</v>
      </c>
      <c r="F127" s="400" t="s">
        <v>1685</v>
      </c>
      <c r="G127" s="226" t="s">
        <v>884</v>
      </c>
      <c r="H127" s="523"/>
      <c r="I127" s="527" t="s">
        <v>885</v>
      </c>
      <c r="J127" s="405" t="s">
        <v>1416</v>
      </c>
      <c r="K127" s="626"/>
      <c r="L127" s="791" t="s">
        <v>1414</v>
      </c>
    </row>
    <row r="128" spans="1:12" ht="30" hidden="1" outlineLevel="1" x14ac:dyDescent="0.25">
      <c r="A128" s="534" t="str">
        <f>IFERROR(IF(MATCH($B$130&amp;"-"&amp;$B128,'Protocol reference (numerical)'!$A$3:$A$217,0),"yes","x"),"no")</f>
        <v>no</v>
      </c>
      <c r="B128" s="422" t="s">
        <v>547</v>
      </c>
      <c r="C128" s="393"/>
      <c r="D128" s="413" t="s">
        <v>880</v>
      </c>
      <c r="E128" s="393" t="s">
        <v>696</v>
      </c>
      <c r="F128" s="400" t="s">
        <v>881</v>
      </c>
      <c r="G128" s="329" t="s">
        <v>1532</v>
      </c>
      <c r="H128" s="523"/>
      <c r="I128" s="527">
        <v>2020</v>
      </c>
      <c r="J128" s="405" t="s">
        <v>1412</v>
      </c>
      <c r="K128" s="626" t="s">
        <v>2225</v>
      </c>
    </row>
    <row r="129" spans="1:14" hidden="1" outlineLevel="1" x14ac:dyDescent="0.25">
      <c r="A129" s="534" t="str">
        <f>IFERROR(IF(MATCH($B$130&amp;"-"&amp;$B129,'Protocol reference (numerical)'!$A$3:$A$217,0),"yes","x"),"no")</f>
        <v>no</v>
      </c>
      <c r="B129" s="422" t="s">
        <v>503</v>
      </c>
      <c r="C129" s="393" t="s">
        <v>886</v>
      </c>
      <c r="D129" s="392" t="s">
        <v>887</v>
      </c>
      <c r="E129" s="393" t="s">
        <v>696</v>
      </c>
      <c r="F129" s="400" t="s">
        <v>888</v>
      </c>
      <c r="G129" s="226" t="s">
        <v>889</v>
      </c>
      <c r="H129" s="878">
        <v>2015</v>
      </c>
      <c r="I129" s="527"/>
      <c r="J129" s="405" t="s">
        <v>1412</v>
      </c>
      <c r="K129" s="626" t="s">
        <v>1560</v>
      </c>
    </row>
    <row r="130" spans="1:14" s="534" customFormat="1" hidden="1" outlineLevel="1" x14ac:dyDescent="0.25">
      <c r="A130" s="534" t="str">
        <f>IFERROR(IF(MATCH($B$130&amp;"-"&amp;$B130,'Protocol reference (numerical)'!$A$3:$A$217,0),"yes","x"),"no")</f>
        <v>no</v>
      </c>
      <c r="B130" s="422" t="s">
        <v>2497</v>
      </c>
      <c r="C130" s="544" t="s">
        <v>2496</v>
      </c>
      <c r="D130" s="543" t="s">
        <v>887</v>
      </c>
      <c r="E130" s="544" t="s">
        <v>696</v>
      </c>
      <c r="F130" s="400" t="s">
        <v>891</v>
      </c>
      <c r="G130" s="226"/>
      <c r="H130" s="878"/>
      <c r="I130" s="527"/>
      <c r="J130" s="452"/>
      <c r="K130" s="630"/>
      <c r="L130" s="791"/>
      <c r="M130" s="791"/>
      <c r="N130" s="669"/>
    </row>
    <row r="131" spans="1:14" ht="45" hidden="1" outlineLevel="1" x14ac:dyDescent="0.25">
      <c r="A131" s="534" t="str">
        <f>IFERROR(IF(MATCH($B$130&amp;"-"&amp;$B131,'Protocol reference (numerical)'!$A$3:$A$217,0),"yes","x"),"no")</f>
        <v>no</v>
      </c>
      <c r="B131" s="422" t="s">
        <v>732</v>
      </c>
      <c r="C131" s="386" t="s">
        <v>890</v>
      </c>
      <c r="D131" s="543" t="s">
        <v>887</v>
      </c>
      <c r="E131" s="544" t="s">
        <v>696</v>
      </c>
      <c r="F131" s="400" t="s">
        <v>891</v>
      </c>
      <c r="G131" s="226" t="s">
        <v>2067</v>
      </c>
      <c r="H131" s="878">
        <v>2014</v>
      </c>
      <c r="I131" s="527"/>
      <c r="J131" s="452" t="s">
        <v>1412</v>
      </c>
      <c r="K131" s="630" t="s">
        <v>2122</v>
      </c>
    </row>
    <row r="132" spans="1:14" hidden="1" outlineLevel="1" x14ac:dyDescent="0.25">
      <c r="A132" s="534" t="str">
        <f>IFERROR(IF(MATCH($B$130&amp;"-"&amp;$B132,'Protocol reference (numerical)'!$A$3:$A$217,0),"yes","x"),"no")</f>
        <v>no</v>
      </c>
      <c r="B132" s="422" t="s">
        <v>1780</v>
      </c>
      <c r="C132" s="386"/>
      <c r="D132" s="392" t="s">
        <v>900</v>
      </c>
      <c r="E132" s="395" t="s">
        <v>784</v>
      </c>
      <c r="F132" s="395" t="s">
        <v>914</v>
      </c>
      <c r="G132" s="144" t="s">
        <v>915</v>
      </c>
      <c r="H132" s="523"/>
      <c r="I132" s="878">
        <v>2020</v>
      </c>
      <c r="J132" s="410"/>
      <c r="K132" s="626" t="s">
        <v>1559</v>
      </c>
    </row>
    <row r="133" spans="1:14" ht="30" hidden="1" outlineLevel="1" x14ac:dyDescent="0.25">
      <c r="A133" s="534" t="str">
        <f>IFERROR(IF(MATCH($B$130&amp;"-"&amp;$B133,'Protocol reference (numerical)'!$A$3:$A$217,0),"yes","x"),"no")</f>
        <v>no</v>
      </c>
      <c r="B133" s="1173" t="s">
        <v>511</v>
      </c>
      <c r="C133" s="396"/>
      <c r="D133" s="397" t="s">
        <v>892</v>
      </c>
      <c r="E133" s="393" t="s">
        <v>696</v>
      </c>
      <c r="F133" s="400" t="s">
        <v>893</v>
      </c>
      <c r="G133" s="329" t="s">
        <v>1533</v>
      </c>
      <c r="H133" s="879" t="s">
        <v>894</v>
      </c>
      <c r="I133" s="527"/>
      <c r="J133" s="405" t="s">
        <v>1264</v>
      </c>
      <c r="K133" s="842" t="s">
        <v>1534</v>
      </c>
      <c r="L133" s="97" t="s">
        <v>2226</v>
      </c>
    </row>
    <row r="134" spans="1:14" ht="30" hidden="1" outlineLevel="1" x14ac:dyDescent="0.25">
      <c r="A134" s="534" t="str">
        <f>IFERROR(IF(MATCH($B$130&amp;"-"&amp;$B134,'Protocol reference (numerical)'!$A$3:$A$217,0),"yes","x"),"no")</f>
        <v>no</v>
      </c>
      <c r="B134" s="422" t="s">
        <v>515</v>
      </c>
      <c r="C134" s="386"/>
      <c r="D134" s="392" t="s">
        <v>892</v>
      </c>
      <c r="E134" s="393" t="s">
        <v>696</v>
      </c>
      <c r="F134" s="400" t="s">
        <v>895</v>
      </c>
      <c r="G134" s="329" t="s">
        <v>1535</v>
      </c>
      <c r="H134" s="878" t="s">
        <v>894</v>
      </c>
      <c r="I134" s="527"/>
      <c r="J134" s="405" t="s">
        <v>1264</v>
      </c>
      <c r="K134" s="796" t="s">
        <v>1536</v>
      </c>
      <c r="L134" s="791" t="s">
        <v>1781</v>
      </c>
    </row>
    <row r="135" spans="1:14" ht="30" hidden="1" outlineLevel="1" x14ac:dyDescent="0.25">
      <c r="A135" s="534" t="str">
        <f>IFERROR(IF(MATCH($B$130&amp;"-"&amp;$B135,'Protocol reference (numerical)'!$A$3:$A$217,0),"yes","x"),"no")</f>
        <v>no</v>
      </c>
      <c r="B135" s="422" t="s">
        <v>896</v>
      </c>
      <c r="C135" s="386"/>
      <c r="D135" s="392" t="s">
        <v>892</v>
      </c>
      <c r="E135" s="393" t="s">
        <v>696</v>
      </c>
      <c r="F135" s="400" t="s">
        <v>897</v>
      </c>
      <c r="G135" s="329" t="s">
        <v>1537</v>
      </c>
      <c r="H135" s="878" t="s">
        <v>894</v>
      </c>
      <c r="I135" s="527"/>
      <c r="J135" s="405" t="s">
        <v>1264</v>
      </c>
      <c r="K135" s="796" t="s">
        <v>1538</v>
      </c>
      <c r="L135" s="791" t="s">
        <v>1782</v>
      </c>
    </row>
    <row r="136" spans="1:14" ht="30" hidden="1" outlineLevel="1" x14ac:dyDescent="0.25">
      <c r="A136" s="534" t="str">
        <f>IFERROR(IF(MATCH($B$130&amp;"-"&amp;$B136,'Protocol reference (numerical)'!$A$3:$A$217,0),"yes","x"),"no")</f>
        <v>no</v>
      </c>
      <c r="B136" s="422" t="s">
        <v>1415</v>
      </c>
      <c r="C136" s="393"/>
      <c r="D136" s="414" t="s">
        <v>1539</v>
      </c>
      <c r="E136" s="393" t="s">
        <v>696</v>
      </c>
      <c r="F136" s="400" t="s">
        <v>1540</v>
      </c>
      <c r="G136" s="329" t="s">
        <v>1541</v>
      </c>
      <c r="H136" s="523"/>
      <c r="I136" s="415">
        <v>2020</v>
      </c>
      <c r="J136" s="405" t="s">
        <v>1407</v>
      </c>
      <c r="K136" s="626" t="s">
        <v>1542</v>
      </c>
      <c r="L136" s="791" t="s">
        <v>1543</v>
      </c>
    </row>
    <row r="137" spans="1:14" hidden="1" outlineLevel="1" x14ac:dyDescent="0.25">
      <c r="A137" s="534" t="str">
        <f>IFERROR(IF(MATCH($B$130&amp;"-"&amp;$B137,'Protocol reference (numerical)'!$A$3:$A$217,0),"yes","x"),"no")</f>
        <v>no</v>
      </c>
      <c r="B137" s="422" t="s">
        <v>899</v>
      </c>
      <c r="C137" s="386"/>
      <c r="D137" s="392" t="s">
        <v>900</v>
      </c>
      <c r="E137" s="393" t="s">
        <v>696</v>
      </c>
      <c r="F137" s="400" t="s">
        <v>1783</v>
      </c>
      <c r="G137" s="230">
        <v>0.18</v>
      </c>
      <c r="H137" s="412">
        <v>2015</v>
      </c>
      <c r="I137" s="415">
        <v>2020</v>
      </c>
      <c r="J137" s="405" t="s">
        <v>1404</v>
      </c>
      <c r="K137" s="626" t="s">
        <v>1544</v>
      </c>
    </row>
    <row r="138" spans="1:14" hidden="1" outlineLevel="1" x14ac:dyDescent="0.25">
      <c r="A138" s="534" t="str">
        <f>IFERROR(IF(MATCH($B$130&amp;"-"&amp;$B138,'Protocol reference (numerical)'!$A$3:$A$217,0),"yes","x"),"no")</f>
        <v>no</v>
      </c>
      <c r="B138" s="422" t="s">
        <v>3</v>
      </c>
      <c r="C138" s="386"/>
      <c r="D138" s="392" t="s">
        <v>832</v>
      </c>
      <c r="E138" s="393" t="s">
        <v>696</v>
      </c>
      <c r="F138" s="400" t="s">
        <v>1783</v>
      </c>
      <c r="G138" s="230" t="s">
        <v>1784</v>
      </c>
      <c r="H138" s="412">
        <v>2005</v>
      </c>
      <c r="I138" s="415">
        <v>2020</v>
      </c>
      <c r="J138" s="405" t="s">
        <v>1404</v>
      </c>
      <c r="K138" s="626" t="s">
        <v>1544</v>
      </c>
    </row>
    <row r="139" spans="1:14" ht="30" hidden="1" outlineLevel="1" x14ac:dyDescent="0.25">
      <c r="A139" s="534" t="str">
        <f>IFERROR(IF(MATCH($B$130&amp;"-"&amp;$B139,'Protocol reference (numerical)'!$A$3:$A$217,0),"yes","x"),"no")</f>
        <v>no</v>
      </c>
      <c r="B139" s="422" t="s">
        <v>904</v>
      </c>
      <c r="C139" s="386"/>
      <c r="D139" s="392" t="s">
        <v>905</v>
      </c>
      <c r="E139" s="393" t="s">
        <v>696</v>
      </c>
      <c r="F139" s="393" t="s">
        <v>1547</v>
      </c>
      <c r="G139" s="825">
        <v>0.22</v>
      </c>
      <c r="H139" s="523">
        <v>2015</v>
      </c>
      <c r="I139" s="527">
        <v>2020</v>
      </c>
      <c r="J139" s="405"/>
      <c r="K139" s="626" t="s">
        <v>1687</v>
      </c>
      <c r="L139" s="791" t="s">
        <v>1785</v>
      </c>
    </row>
    <row r="140" spans="1:14" hidden="1" outlineLevel="1" x14ac:dyDescent="0.25">
      <c r="A140" s="534" t="str">
        <f>IFERROR(IF(MATCH($B$130&amp;"-"&amp;$B140,'Protocol reference (numerical)'!$A$3:$A$217,0),"yes","x"),"no")</f>
        <v>no</v>
      </c>
      <c r="B140" s="422" t="s">
        <v>906</v>
      </c>
      <c r="C140" s="386"/>
      <c r="D140" s="392" t="s">
        <v>905</v>
      </c>
      <c r="E140" s="393" t="s">
        <v>696</v>
      </c>
      <c r="F140" s="393" t="s">
        <v>1547</v>
      </c>
      <c r="G140" s="825">
        <v>0.4</v>
      </c>
      <c r="H140" s="523">
        <v>2015</v>
      </c>
      <c r="I140" s="527">
        <v>2025</v>
      </c>
      <c r="J140" s="405"/>
      <c r="K140" s="626" t="s">
        <v>1687</v>
      </c>
      <c r="L140" s="791" t="s">
        <v>1548</v>
      </c>
    </row>
    <row r="141" spans="1:14" ht="30" hidden="1" outlineLevel="1" x14ac:dyDescent="0.25">
      <c r="A141" s="534" t="str">
        <f>IFERROR(IF(MATCH($B$130&amp;"-"&amp;$B141,'Protocol reference (numerical)'!$A$3:$A$217,0),"yes","x"),"no")</f>
        <v>no</v>
      </c>
      <c r="B141" s="422" t="s">
        <v>901</v>
      </c>
      <c r="C141" s="386"/>
      <c r="D141" s="392" t="s">
        <v>900</v>
      </c>
      <c r="E141" s="393" t="s">
        <v>696</v>
      </c>
      <c r="F141" s="393" t="s">
        <v>902</v>
      </c>
      <c r="G141" s="226" t="s">
        <v>1545</v>
      </c>
      <c r="H141" s="523"/>
      <c r="I141" s="527">
        <v>2020</v>
      </c>
      <c r="J141" s="406"/>
      <c r="K141" s="630" t="s">
        <v>1786</v>
      </c>
      <c r="L141" s="791" t="s">
        <v>1787</v>
      </c>
    </row>
    <row r="142" spans="1:14" s="356" customFormat="1" ht="210" hidden="1" outlineLevel="1" x14ac:dyDescent="0.25">
      <c r="A142" s="534" t="str">
        <f>IFERROR(IF(MATCH($B$130&amp;"-"&amp;$B142,'Protocol reference (numerical)'!$A$3:$A$217,0),"yes","x"),"no")</f>
        <v>no</v>
      </c>
      <c r="B142" s="422">
        <v>10</v>
      </c>
      <c r="C142" s="386"/>
      <c r="D142" s="392" t="s">
        <v>903</v>
      </c>
      <c r="E142" s="393" t="s">
        <v>696</v>
      </c>
      <c r="F142" s="400" t="s">
        <v>1546</v>
      </c>
      <c r="G142" s="230" t="s">
        <v>1686</v>
      </c>
      <c r="H142" s="523"/>
      <c r="I142" s="527">
        <v>2020</v>
      </c>
      <c r="J142" s="406" t="s">
        <v>1409</v>
      </c>
      <c r="K142" s="630" t="s">
        <v>1788</v>
      </c>
      <c r="L142" s="791" t="s">
        <v>1789</v>
      </c>
      <c r="M142" s="791"/>
      <c r="N142" s="669"/>
    </row>
    <row r="143" spans="1:14" s="356" customFormat="1" hidden="1" outlineLevel="1" x14ac:dyDescent="0.25">
      <c r="A143" s="534" t="str">
        <f>IFERROR(IF(MATCH($B$130&amp;"-"&amp;$B143,'Protocol reference (numerical)'!$A$3:$A$217,0),"yes","x"),"no")</f>
        <v>no</v>
      </c>
      <c r="B143" s="422" t="s">
        <v>913</v>
      </c>
      <c r="C143" s="393"/>
      <c r="D143" s="392" t="s">
        <v>900</v>
      </c>
      <c r="E143" s="400" t="s">
        <v>696</v>
      </c>
      <c r="F143" s="400" t="s">
        <v>1790</v>
      </c>
      <c r="G143" s="826">
        <v>0.15</v>
      </c>
      <c r="H143" s="412">
        <v>2015</v>
      </c>
      <c r="I143" s="415">
        <v>2020</v>
      </c>
      <c r="J143" s="405" t="s">
        <v>1264</v>
      </c>
      <c r="K143" s="626" t="s">
        <v>1791</v>
      </c>
      <c r="L143" s="791"/>
      <c r="M143" s="802"/>
      <c r="N143" s="669"/>
    </row>
    <row r="144" spans="1:14" s="356" customFormat="1" hidden="1" outlineLevel="1" x14ac:dyDescent="0.25">
      <c r="A144" s="534" t="str">
        <f>IFERROR(IF(MATCH($B$130&amp;"-"&amp;$B144,'Protocol reference (numerical)'!$A$3:$A$217,0),"yes","x"),"no")</f>
        <v>no</v>
      </c>
      <c r="B144" s="1181" t="s">
        <v>1551</v>
      </c>
      <c r="C144" s="392"/>
      <c r="D144" s="392" t="s">
        <v>1552</v>
      </c>
      <c r="E144" s="393" t="s">
        <v>696</v>
      </c>
      <c r="F144" s="404" t="s">
        <v>1553</v>
      </c>
      <c r="G144" s="827">
        <v>0.18</v>
      </c>
      <c r="H144" s="523">
        <v>2015</v>
      </c>
      <c r="I144" s="527">
        <v>2020</v>
      </c>
      <c r="J144" s="416" t="s">
        <v>1264</v>
      </c>
      <c r="K144" s="843" t="s">
        <v>1554</v>
      </c>
      <c r="L144" s="791" t="s">
        <v>1548</v>
      </c>
      <c r="M144" s="791"/>
      <c r="N144" s="669"/>
    </row>
    <row r="145" spans="1:14" s="356" customFormat="1" hidden="1" outlineLevel="1" x14ac:dyDescent="0.25">
      <c r="A145" s="534" t="str">
        <f>IFERROR(IF(MATCH($B$130&amp;"-"&amp;$B145,'Protocol reference (numerical)'!$A$3:$A$217,0),"yes","x"),"no")</f>
        <v>no</v>
      </c>
      <c r="B145" s="1160">
        <v>14</v>
      </c>
      <c r="C145" s="392"/>
      <c r="D145" s="394" t="s">
        <v>1555</v>
      </c>
      <c r="E145" s="393" t="s">
        <v>696</v>
      </c>
      <c r="F145" s="417" t="s">
        <v>1556</v>
      </c>
      <c r="G145" s="827">
        <v>0.43</v>
      </c>
      <c r="H145" s="880">
        <v>2005</v>
      </c>
      <c r="I145" s="880">
        <v>2020</v>
      </c>
      <c r="J145" s="416"/>
      <c r="K145" s="626"/>
      <c r="L145" s="622"/>
      <c r="M145" s="791"/>
      <c r="N145" s="669"/>
    </row>
    <row r="146" spans="1:14" s="356" customFormat="1" hidden="1" outlineLevel="1" x14ac:dyDescent="0.25">
      <c r="A146" s="534" t="str">
        <f>IFERROR(IF(MATCH($B$130&amp;"-"&amp;$B146,'Protocol reference (numerical)'!$A$3:$A$217,0),"yes","x"),"no")</f>
        <v>no</v>
      </c>
      <c r="B146" s="1182" t="s">
        <v>857</v>
      </c>
      <c r="C146" s="418"/>
      <c r="D146" s="419" t="s">
        <v>838</v>
      </c>
      <c r="E146" s="418" t="s">
        <v>696</v>
      </c>
      <c r="F146" s="418" t="s">
        <v>858</v>
      </c>
      <c r="G146" s="828">
        <v>0.85</v>
      </c>
      <c r="H146" s="881"/>
      <c r="I146" s="882">
        <v>2020</v>
      </c>
      <c r="J146" s="407"/>
      <c r="K146" s="666"/>
      <c r="L146" s="97"/>
      <c r="M146" s="791"/>
      <c r="N146" s="669"/>
    </row>
    <row r="147" spans="1:14" s="356" customFormat="1" ht="45" hidden="1" outlineLevel="1" x14ac:dyDescent="0.25">
      <c r="A147" s="534" t="str">
        <f>IFERROR(IF(MATCH($B$130&amp;"-"&amp;$B147,'Protocol reference (numerical)'!$A$3:$A$217,0),"yes","x"),"no")</f>
        <v>no</v>
      </c>
      <c r="B147" s="1183" t="s">
        <v>911</v>
      </c>
      <c r="C147" s="398" t="s">
        <v>910</v>
      </c>
      <c r="D147" s="399" t="s">
        <v>900</v>
      </c>
      <c r="E147" s="402" t="s">
        <v>696</v>
      </c>
      <c r="F147" s="402" t="s">
        <v>912</v>
      </c>
      <c r="G147" s="829" t="s">
        <v>1557</v>
      </c>
      <c r="H147" s="420"/>
      <c r="I147" s="883">
        <v>2020</v>
      </c>
      <c r="J147" s="421" t="s">
        <v>1417</v>
      </c>
      <c r="K147" s="661" t="s">
        <v>1558</v>
      </c>
      <c r="L147" s="791" t="s">
        <v>1792</v>
      </c>
      <c r="M147" s="791"/>
      <c r="N147" s="669"/>
    </row>
    <row r="148" spans="1:14" s="356" customFormat="1" ht="30" hidden="1" outlineLevel="1" x14ac:dyDescent="0.25">
      <c r="A148" s="534" t="str">
        <f>IFERROR(IF(MATCH($B$130&amp;"-"&amp;$B148,'Protocol reference (numerical)'!$A$3:$A$217,0),"yes","x"),"no")</f>
        <v>no</v>
      </c>
      <c r="B148" s="1183" t="s">
        <v>1780</v>
      </c>
      <c r="C148" s="398" t="s">
        <v>1793</v>
      </c>
      <c r="D148" s="399" t="s">
        <v>900</v>
      </c>
      <c r="E148" s="402" t="s">
        <v>696</v>
      </c>
      <c r="F148" s="402" t="s">
        <v>1794</v>
      </c>
      <c r="G148" s="829" t="s">
        <v>1795</v>
      </c>
      <c r="H148" s="420">
        <v>2016</v>
      </c>
      <c r="I148" s="883">
        <v>2020</v>
      </c>
      <c r="J148" s="421" t="s">
        <v>1417</v>
      </c>
      <c r="K148" s="661" t="s">
        <v>1796</v>
      </c>
      <c r="L148" s="791" t="s">
        <v>1797</v>
      </c>
      <c r="M148" s="791"/>
      <c r="N148" s="669"/>
    </row>
    <row r="149" spans="1:14" s="356" customFormat="1" hidden="1" outlineLevel="1" x14ac:dyDescent="0.25">
      <c r="A149" s="534" t="str">
        <f>IFERROR(IF(MATCH($B$130&amp;"-"&amp;$B149,'Protocol reference (numerical)'!$A$3:$A$217,0),"yes","x"),"no")</f>
        <v>no</v>
      </c>
      <c r="B149" s="1227" t="s">
        <v>802</v>
      </c>
      <c r="C149" s="120"/>
      <c r="D149" s="1228" t="s">
        <v>832</v>
      </c>
      <c r="E149" s="119" t="s">
        <v>696</v>
      </c>
      <c r="F149" s="119" t="s">
        <v>1798</v>
      </c>
      <c r="G149" s="1229" t="s">
        <v>1799</v>
      </c>
      <c r="H149" s="1230">
        <v>2005</v>
      </c>
      <c r="I149" s="1231">
        <v>2020</v>
      </c>
      <c r="J149" s="1232" t="s">
        <v>1417</v>
      </c>
      <c r="K149" s="658" t="s">
        <v>1799</v>
      </c>
      <c r="L149" s="791" t="s">
        <v>1797</v>
      </c>
      <c r="M149" s="791"/>
      <c r="N149" s="669"/>
    </row>
    <row r="150" spans="1:14" collapsed="1" x14ac:dyDescent="0.25">
      <c r="B150" s="44"/>
      <c r="C150" s="44"/>
      <c r="D150" s="44"/>
      <c r="E150" s="44"/>
      <c r="F150" s="44"/>
      <c r="G150" s="838"/>
      <c r="H150" s="870"/>
      <c r="I150" s="870"/>
      <c r="J150" s="44"/>
      <c r="K150" s="838"/>
    </row>
    <row r="151" spans="1:14" ht="23.25" x14ac:dyDescent="0.35">
      <c r="B151" s="435" t="s">
        <v>916</v>
      </c>
      <c r="C151" s="433" t="s">
        <v>334</v>
      </c>
      <c r="D151" s="433" t="s">
        <v>335</v>
      </c>
      <c r="E151" s="436" t="s">
        <v>336</v>
      </c>
      <c r="F151" s="433" t="s">
        <v>1419</v>
      </c>
      <c r="G151" s="858" t="s">
        <v>337</v>
      </c>
      <c r="H151" s="858" t="s">
        <v>2</v>
      </c>
      <c r="I151" s="833" t="s">
        <v>338</v>
      </c>
      <c r="J151" s="434" t="s">
        <v>1418</v>
      </c>
      <c r="K151" s="833" t="s">
        <v>2201</v>
      </c>
      <c r="L151" s="798" t="s">
        <v>690</v>
      </c>
    </row>
    <row r="152" spans="1:14" hidden="1" outlineLevel="1" x14ac:dyDescent="0.25">
      <c r="A152" s="534" t="str">
        <f>IFERROR(IF(MATCH($B$151&amp;"-"&amp;$B152,'Protocol reference (numerical)'!$A$3:$A$217,0),"yes","x"),"no")</f>
        <v>no</v>
      </c>
      <c r="B152" s="1167">
        <v>0</v>
      </c>
      <c r="C152" s="437" t="s">
        <v>917</v>
      </c>
      <c r="D152" s="438" t="s">
        <v>2525</v>
      </c>
      <c r="E152" s="515" t="s">
        <v>784</v>
      </c>
      <c r="F152" s="447" t="s">
        <v>1800</v>
      </c>
      <c r="G152" s="901">
        <v>0.4</v>
      </c>
      <c r="H152" s="522">
        <v>1990</v>
      </c>
      <c r="I152" s="871">
        <v>2030</v>
      </c>
      <c r="J152" s="453" t="s">
        <v>54</v>
      </c>
      <c r="K152" s="606"/>
    </row>
    <row r="153" spans="1:14" hidden="1" outlineLevel="1" x14ac:dyDescent="0.25">
      <c r="A153" s="534" t="str">
        <f>IFERROR(IF(MATCH($B$151&amp;"-"&amp;$B153,'Protocol reference (numerical)'!$A$3:$A$217,0),"yes","x"),"no")</f>
        <v>yes</v>
      </c>
      <c r="B153" s="1173" t="s">
        <v>3</v>
      </c>
      <c r="C153" s="444" t="s">
        <v>918</v>
      </c>
      <c r="D153" s="445" t="s">
        <v>919</v>
      </c>
      <c r="E153" s="446" t="s">
        <v>696</v>
      </c>
      <c r="F153" s="448" t="s">
        <v>920</v>
      </c>
      <c r="G153" s="51">
        <v>0.2</v>
      </c>
      <c r="H153" s="872">
        <v>1990</v>
      </c>
      <c r="I153" s="873">
        <v>2020</v>
      </c>
      <c r="J153" s="452" t="s">
        <v>54</v>
      </c>
      <c r="K153" s="626"/>
    </row>
    <row r="154" spans="1:14" hidden="1" outlineLevel="1" x14ac:dyDescent="0.25">
      <c r="A154" s="534" t="str">
        <f>IFERROR(IF(MATCH($B$151&amp;"-"&amp;$B154,'Protocol reference (numerical)'!$A$3:$A$217,0),"yes","x"),"no")</f>
        <v>yes</v>
      </c>
      <c r="B154" s="422" t="s">
        <v>700</v>
      </c>
      <c r="C154" s="432" t="s">
        <v>921</v>
      </c>
      <c r="D154" s="439" t="s">
        <v>919</v>
      </c>
      <c r="E154" s="440" t="s">
        <v>696</v>
      </c>
      <c r="F154" s="440" t="s">
        <v>922</v>
      </c>
      <c r="G154" s="825">
        <v>0.2</v>
      </c>
      <c r="H154" s="523"/>
      <c r="I154" s="527">
        <v>2020</v>
      </c>
      <c r="J154" s="452" t="s">
        <v>1406</v>
      </c>
      <c r="K154" s="626"/>
    </row>
    <row r="155" spans="1:14" ht="75" hidden="1" outlineLevel="1" x14ac:dyDescent="0.25">
      <c r="A155" s="534" t="str">
        <f>IFERROR(IF(MATCH($B$151&amp;"-"&amp;$B155,'Protocol reference (numerical)'!$A$3:$A$217,0),"yes","x"),"no")</f>
        <v>yes</v>
      </c>
      <c r="B155" s="422" t="s">
        <v>802</v>
      </c>
      <c r="C155" s="432" t="s">
        <v>923</v>
      </c>
      <c r="D155" s="439" t="s">
        <v>919</v>
      </c>
      <c r="E155" s="440" t="s">
        <v>696</v>
      </c>
      <c r="F155" s="440" t="s">
        <v>1801</v>
      </c>
      <c r="G155" s="825" t="s">
        <v>1802</v>
      </c>
      <c r="H155" s="523" t="s">
        <v>374</v>
      </c>
      <c r="I155" s="527">
        <v>2020</v>
      </c>
      <c r="J155" s="452"/>
      <c r="K155" s="626" t="s">
        <v>1561</v>
      </c>
      <c r="L155" s="791" t="s">
        <v>2227</v>
      </c>
    </row>
    <row r="156" spans="1:14" hidden="1" outlineLevel="1" x14ac:dyDescent="0.25">
      <c r="A156" s="534" t="str">
        <f>IFERROR(IF(MATCH($B$151&amp;"-"&amp;$B156,'Protocol reference (numerical)'!$A$3:$A$217,0),"yes","x"),"no")</f>
        <v>no</v>
      </c>
      <c r="B156" s="422" t="s">
        <v>34</v>
      </c>
      <c r="C156" s="432" t="s">
        <v>917</v>
      </c>
      <c r="D156" s="456" t="s">
        <v>924</v>
      </c>
      <c r="E156" s="544" t="s">
        <v>784</v>
      </c>
      <c r="F156" s="440" t="s">
        <v>920</v>
      </c>
      <c r="G156" s="825" t="s">
        <v>925</v>
      </c>
      <c r="H156" s="523">
        <v>1990</v>
      </c>
      <c r="I156" s="527">
        <v>2030</v>
      </c>
      <c r="J156" s="452" t="s">
        <v>54</v>
      </c>
      <c r="K156" s="626"/>
    </row>
    <row r="157" spans="1:14" hidden="1" outlineLevel="1" x14ac:dyDescent="0.25">
      <c r="A157" s="534" t="str">
        <f>IFERROR(IF(MATCH($B$151&amp;"-"&amp;$B157,'Protocol reference (numerical)'!$A$3:$A$217,0),"yes","x"),"no")</f>
        <v>yes</v>
      </c>
      <c r="B157" s="422" t="s">
        <v>708</v>
      </c>
      <c r="C157" s="432" t="s">
        <v>926</v>
      </c>
      <c r="D157" s="456" t="s">
        <v>924</v>
      </c>
      <c r="E157" s="544" t="s">
        <v>784</v>
      </c>
      <c r="F157" s="440" t="s">
        <v>922</v>
      </c>
      <c r="G157" s="226" t="s">
        <v>927</v>
      </c>
      <c r="H157" s="523"/>
      <c r="I157" s="527">
        <v>2030</v>
      </c>
      <c r="J157" s="452" t="s">
        <v>1406</v>
      </c>
      <c r="K157" s="626"/>
    </row>
    <row r="158" spans="1:14" ht="120" hidden="1" outlineLevel="1" x14ac:dyDescent="0.25">
      <c r="A158" s="534" t="str">
        <f>IFERROR(IF(MATCH($B$151&amp;"-"&amp;$B158,'Protocol reference (numerical)'!$A$3:$A$217,0),"yes","x"),"no")</f>
        <v>yes</v>
      </c>
      <c r="B158" s="422" t="s">
        <v>709</v>
      </c>
      <c r="C158" s="432" t="s">
        <v>928</v>
      </c>
      <c r="D158" s="456" t="s">
        <v>924</v>
      </c>
      <c r="E158" s="544" t="s">
        <v>784</v>
      </c>
      <c r="F158" s="440" t="s">
        <v>1803</v>
      </c>
      <c r="G158" s="226" t="s">
        <v>927</v>
      </c>
      <c r="H158" s="523" t="s">
        <v>374</v>
      </c>
      <c r="I158" s="527">
        <v>2030</v>
      </c>
      <c r="J158" s="452"/>
      <c r="K158" s="626" t="s">
        <v>1561</v>
      </c>
      <c r="L158" s="791" t="s">
        <v>1804</v>
      </c>
    </row>
    <row r="159" spans="1:14" hidden="1" outlineLevel="1" x14ac:dyDescent="0.25">
      <c r="A159" s="534" t="str">
        <f>IFERROR(IF(MATCH($B$151&amp;"-"&amp;$B159,'Protocol reference (numerical)'!$A$3:$A$217,0),"yes","x"),"no")</f>
        <v>no</v>
      </c>
      <c r="B159" s="422" t="s">
        <v>5</v>
      </c>
      <c r="C159" s="432" t="s">
        <v>929</v>
      </c>
      <c r="D159" s="439" t="s">
        <v>930</v>
      </c>
      <c r="E159" s="440" t="s">
        <v>784</v>
      </c>
      <c r="F159" s="440" t="s">
        <v>931</v>
      </c>
      <c r="G159" s="825">
        <v>0.6</v>
      </c>
      <c r="H159" s="523"/>
      <c r="I159" s="527">
        <v>2050</v>
      </c>
      <c r="J159" s="452" t="s">
        <v>54</v>
      </c>
      <c r="K159" s="626"/>
    </row>
    <row r="160" spans="1:14" ht="30" hidden="1" outlineLevel="1" x14ac:dyDescent="0.25">
      <c r="A160" s="534" t="str">
        <f>IFERROR(IF(MATCH($B$151&amp;"-"&amp;$B160,'Protocol reference (numerical)'!$A$3:$A$217,0),"yes","x"),"no")</f>
        <v>no</v>
      </c>
      <c r="B160" s="422" t="s">
        <v>351</v>
      </c>
      <c r="C160" s="432" t="s">
        <v>932</v>
      </c>
      <c r="D160" s="439" t="s">
        <v>933</v>
      </c>
      <c r="E160" s="440" t="s">
        <v>696</v>
      </c>
      <c r="F160" s="440" t="s">
        <v>1576</v>
      </c>
      <c r="G160" s="813" t="s">
        <v>934</v>
      </c>
      <c r="H160" s="523">
        <v>2011</v>
      </c>
      <c r="I160" s="527"/>
      <c r="J160" s="457" t="s">
        <v>1412</v>
      </c>
      <c r="K160" s="844" t="s">
        <v>1579</v>
      </c>
      <c r="L160" s="791" t="s">
        <v>1585</v>
      </c>
    </row>
    <row r="161" spans="1:13" ht="30" hidden="1" outlineLevel="1" x14ac:dyDescent="0.25">
      <c r="A161" s="534" t="str">
        <f>IFERROR(IF(MATCH($B$151&amp;"-"&amp;$B161,'Protocol reference (numerical)'!$A$3:$A$217,0),"yes","x"),"no")</f>
        <v>yes</v>
      </c>
      <c r="B161" s="422" t="s">
        <v>355</v>
      </c>
      <c r="C161" s="432" t="s">
        <v>932</v>
      </c>
      <c r="D161" s="439" t="s">
        <v>933</v>
      </c>
      <c r="E161" s="440" t="s">
        <v>696</v>
      </c>
      <c r="F161" s="440" t="s">
        <v>1577</v>
      </c>
      <c r="G161" s="813" t="s">
        <v>935</v>
      </c>
      <c r="H161" s="862"/>
      <c r="I161" s="527">
        <v>2020</v>
      </c>
      <c r="J161" s="457" t="s">
        <v>1412</v>
      </c>
      <c r="K161" s="844" t="s">
        <v>1580</v>
      </c>
    </row>
    <row r="162" spans="1:13" ht="30" hidden="1" outlineLevel="1" x14ac:dyDescent="0.25">
      <c r="A162" s="534" t="str">
        <f>IFERROR(IF(MATCH($B$151&amp;"-"&amp;$B162,'Protocol reference (numerical)'!$A$3:$A$217,0),"yes","x"),"no")</f>
        <v>no</v>
      </c>
      <c r="B162" s="422" t="s">
        <v>9</v>
      </c>
      <c r="C162" s="432" t="s">
        <v>936</v>
      </c>
      <c r="D162" s="439" t="s">
        <v>937</v>
      </c>
      <c r="E162" s="440" t="s">
        <v>696</v>
      </c>
      <c r="F162" s="440" t="s">
        <v>1576</v>
      </c>
      <c r="G162" s="813" t="s">
        <v>938</v>
      </c>
      <c r="H162" s="523">
        <v>2012</v>
      </c>
      <c r="I162" s="527"/>
      <c r="J162" s="457" t="s">
        <v>1412</v>
      </c>
      <c r="K162" s="844" t="s">
        <v>1581</v>
      </c>
    </row>
    <row r="163" spans="1:13" ht="30" hidden="1" outlineLevel="1" x14ac:dyDescent="0.25">
      <c r="A163" s="534" t="str">
        <f>IFERROR(IF(MATCH($B$151&amp;"-"&amp;$B163,'Protocol reference (numerical)'!$A$3:$A$217,0),"yes","x"),"no")</f>
        <v>yes</v>
      </c>
      <c r="B163" s="422" t="s">
        <v>939</v>
      </c>
      <c r="C163" s="432" t="s">
        <v>936</v>
      </c>
      <c r="D163" s="439" t="s">
        <v>937</v>
      </c>
      <c r="E163" s="440" t="s">
        <v>696</v>
      </c>
      <c r="F163" s="440" t="s">
        <v>1577</v>
      </c>
      <c r="G163" s="813" t="s">
        <v>940</v>
      </c>
      <c r="H163" s="523"/>
      <c r="I163" s="527">
        <v>2020</v>
      </c>
      <c r="J163" s="457" t="s">
        <v>1412</v>
      </c>
      <c r="K163" s="844" t="s">
        <v>1582</v>
      </c>
      <c r="L163" s="791" t="s">
        <v>941</v>
      </c>
    </row>
    <row r="164" spans="1:13" ht="45" hidden="1" outlineLevel="1" x14ac:dyDescent="0.25">
      <c r="A164" s="534" t="str">
        <f>IFERROR(IF(MATCH($B$151&amp;"-"&amp;$B164,'Protocol reference (numerical)'!$A$3:$A$217,0),"yes","x"),"no")</f>
        <v>no</v>
      </c>
      <c r="B164" s="422" t="s">
        <v>33</v>
      </c>
      <c r="C164" s="432" t="s">
        <v>942</v>
      </c>
      <c r="D164" s="439" t="s">
        <v>943</v>
      </c>
      <c r="E164" s="440" t="s">
        <v>696</v>
      </c>
      <c r="F164" s="440" t="s">
        <v>1562</v>
      </c>
      <c r="G164" s="830" t="s">
        <v>1563</v>
      </c>
      <c r="H164" s="523">
        <v>2012</v>
      </c>
      <c r="I164" s="527">
        <v>2020</v>
      </c>
      <c r="J164" s="452"/>
      <c r="K164" s="626" t="s">
        <v>1564</v>
      </c>
      <c r="L164" s="791" t="s">
        <v>944</v>
      </c>
    </row>
    <row r="165" spans="1:13" ht="45" hidden="1" outlineLevel="1" x14ac:dyDescent="0.25">
      <c r="A165" s="534" t="str">
        <f>IFERROR(IF(MATCH($B$151&amp;"-"&amp;$B165,'Protocol reference (numerical)'!$A$3:$A$217,0),"yes","x"),"no")</f>
        <v>yes</v>
      </c>
      <c r="B165" s="422">
        <v>7</v>
      </c>
      <c r="C165" s="432" t="s">
        <v>945</v>
      </c>
      <c r="D165" s="439" t="s">
        <v>946</v>
      </c>
      <c r="E165" s="440" t="s">
        <v>696</v>
      </c>
      <c r="F165" s="440" t="s">
        <v>947</v>
      </c>
      <c r="G165" s="830">
        <v>1.7399999999999999E-2</v>
      </c>
      <c r="H165" s="523"/>
      <c r="I165" s="527">
        <v>2020</v>
      </c>
      <c r="J165" s="452" t="s">
        <v>54</v>
      </c>
      <c r="K165" s="626" t="s">
        <v>1565</v>
      </c>
      <c r="L165" s="791" t="s">
        <v>1805</v>
      </c>
    </row>
    <row r="166" spans="1:13" ht="195" hidden="1" outlineLevel="1" x14ac:dyDescent="0.25">
      <c r="A166" s="534" t="str">
        <f>IFERROR(IF(MATCH($B$151&amp;"-"&amp;$B166,'Protocol reference (numerical)'!$A$3:$A$217,0),"yes","x"),"no")</f>
        <v>yes</v>
      </c>
      <c r="B166" s="422" t="s">
        <v>511</v>
      </c>
      <c r="C166" s="432" t="s">
        <v>948</v>
      </c>
      <c r="D166" s="439" t="s">
        <v>949</v>
      </c>
      <c r="E166" s="440" t="s">
        <v>696</v>
      </c>
      <c r="F166" s="454" t="s">
        <v>950</v>
      </c>
      <c r="G166" s="226" t="s">
        <v>951</v>
      </c>
      <c r="H166" s="523">
        <v>1990</v>
      </c>
      <c r="I166" s="527">
        <v>2030</v>
      </c>
      <c r="J166" s="452" t="s">
        <v>54</v>
      </c>
      <c r="K166" s="626" t="s">
        <v>1566</v>
      </c>
      <c r="L166" s="791" t="s">
        <v>952</v>
      </c>
      <c r="M166" s="791" t="s">
        <v>1567</v>
      </c>
    </row>
    <row r="167" spans="1:13" ht="30" hidden="1" outlineLevel="1" x14ac:dyDescent="0.25">
      <c r="A167" s="534" t="str">
        <f>IFERROR(IF(MATCH($B$151&amp;"-"&amp;$B167,'Protocol reference (numerical)'!$A$3:$A$217,0),"yes","x"),"no")</f>
        <v>no</v>
      </c>
      <c r="B167" s="422" t="s">
        <v>515</v>
      </c>
      <c r="C167" s="432" t="s">
        <v>953</v>
      </c>
      <c r="D167" s="439" t="s">
        <v>949</v>
      </c>
      <c r="E167" s="440" t="s">
        <v>696</v>
      </c>
      <c r="F167" s="454" t="s">
        <v>950</v>
      </c>
      <c r="G167" s="226" t="s">
        <v>954</v>
      </c>
      <c r="H167" s="523">
        <v>1990</v>
      </c>
      <c r="I167" s="527">
        <v>2050</v>
      </c>
      <c r="J167" s="452" t="s">
        <v>54</v>
      </c>
      <c r="K167" s="626" t="s">
        <v>1566</v>
      </c>
    </row>
    <row r="168" spans="1:13" hidden="1" outlineLevel="1" x14ac:dyDescent="0.25">
      <c r="A168" s="534" t="str">
        <f>IFERROR(IF(MATCH($B$151&amp;"-"&amp;$B168,'Protocol reference (numerical)'!$A$3:$A$217,0),"yes","x"),"no")</f>
        <v>yes</v>
      </c>
      <c r="B168" s="422">
        <v>9</v>
      </c>
      <c r="C168" s="432" t="s">
        <v>955</v>
      </c>
      <c r="D168" s="439" t="s">
        <v>956</v>
      </c>
      <c r="E168" s="440" t="s">
        <v>696</v>
      </c>
      <c r="F168" s="440" t="s">
        <v>957</v>
      </c>
      <c r="G168" s="825">
        <v>0.1</v>
      </c>
      <c r="H168" s="523"/>
      <c r="I168" s="527">
        <v>2020</v>
      </c>
      <c r="J168" s="452" t="s">
        <v>955</v>
      </c>
      <c r="K168" s="626" t="s">
        <v>1568</v>
      </c>
    </row>
    <row r="169" spans="1:13" ht="75" hidden="1" outlineLevel="1" x14ac:dyDescent="0.25">
      <c r="A169" s="534" t="str">
        <f>IFERROR(IF(MATCH($B$151&amp;"-"&amp;$B169,'Protocol reference (numerical)'!$A$3:$A$217,0),"yes","x"),"no")</f>
        <v>no</v>
      </c>
      <c r="B169" s="422" t="s">
        <v>35</v>
      </c>
      <c r="C169" s="454" t="s">
        <v>958</v>
      </c>
      <c r="D169" s="439" t="s">
        <v>959</v>
      </c>
      <c r="E169" s="440" t="s">
        <v>696</v>
      </c>
      <c r="F169" s="454" t="s">
        <v>960</v>
      </c>
      <c r="G169" s="825">
        <v>0.1</v>
      </c>
      <c r="H169" s="523">
        <v>2010</v>
      </c>
      <c r="I169" s="527">
        <v>2020</v>
      </c>
      <c r="J169" s="452"/>
      <c r="K169" s="626"/>
      <c r="L169" s="791" t="s">
        <v>961</v>
      </c>
    </row>
    <row r="170" spans="1:13" ht="30" hidden="1" outlineLevel="1" x14ac:dyDescent="0.25">
      <c r="A170" s="534" t="str">
        <f>IFERROR(IF(MATCH($B$151&amp;"-"&amp;$B170,'Protocol reference (numerical)'!$A$3:$A$217,0),"yes","x"),"no")</f>
        <v>no</v>
      </c>
      <c r="B170" s="422" t="s">
        <v>962</v>
      </c>
      <c r="C170" s="432" t="s">
        <v>963</v>
      </c>
      <c r="D170" s="439" t="s">
        <v>959</v>
      </c>
      <c r="E170" s="440" t="s">
        <v>696</v>
      </c>
      <c r="F170" s="454" t="s">
        <v>964</v>
      </c>
      <c r="G170" s="825">
        <v>0.1</v>
      </c>
      <c r="H170" s="523"/>
      <c r="I170" s="527"/>
      <c r="J170" s="452" t="s">
        <v>1416</v>
      </c>
      <c r="K170" s="626"/>
      <c r="L170" s="791" t="s">
        <v>965</v>
      </c>
    </row>
    <row r="171" spans="1:13" hidden="1" outlineLevel="1" x14ac:dyDescent="0.25">
      <c r="A171" s="534" t="str">
        <f>IFERROR(IF(MATCH($B$151&amp;"-"&amp;$B171,'Protocol reference (numerical)'!$A$3:$A$217,0),"yes","x"),"no")</f>
        <v>no</v>
      </c>
      <c r="B171" s="422" t="s">
        <v>966</v>
      </c>
      <c r="C171" s="432" t="s">
        <v>967</v>
      </c>
      <c r="D171" s="439" t="s">
        <v>959</v>
      </c>
      <c r="E171" s="440" t="s">
        <v>696</v>
      </c>
      <c r="F171" s="454" t="s">
        <v>968</v>
      </c>
      <c r="G171" s="825">
        <v>7.0000000000000007E-2</v>
      </c>
      <c r="H171" s="523"/>
      <c r="I171" s="527"/>
      <c r="J171" s="452" t="s">
        <v>1416</v>
      </c>
      <c r="K171" s="626"/>
      <c r="L171" s="791" t="s">
        <v>2228</v>
      </c>
    </row>
    <row r="172" spans="1:13" hidden="1" outlineLevel="1" x14ac:dyDescent="0.25">
      <c r="A172" s="534" t="str">
        <f>IFERROR(IF(MATCH($B$151&amp;"-"&amp;$B172,'Protocol reference (numerical)'!$A$3:$A$217,0),"yes","x"),"no")</f>
        <v>yes</v>
      </c>
      <c r="B172" s="422" t="s">
        <v>904</v>
      </c>
      <c r="C172" s="432" t="s">
        <v>969</v>
      </c>
      <c r="D172" s="439" t="s">
        <v>970</v>
      </c>
      <c r="E172" s="440" t="s">
        <v>696</v>
      </c>
      <c r="F172" s="454" t="s">
        <v>1806</v>
      </c>
      <c r="G172" s="825" t="s">
        <v>971</v>
      </c>
      <c r="H172" s="523"/>
      <c r="I172" s="527">
        <v>2020</v>
      </c>
      <c r="J172" s="452" t="s">
        <v>1409</v>
      </c>
      <c r="K172" s="626" t="s">
        <v>1583</v>
      </c>
    </row>
    <row r="173" spans="1:13" hidden="1" outlineLevel="1" x14ac:dyDescent="0.25">
      <c r="A173" s="534" t="str">
        <f>IFERROR(IF(MATCH($B$151&amp;"-"&amp;$B173,'Protocol reference (numerical)'!$A$3:$A$217,0),"yes","x"),"no")</f>
        <v>yes</v>
      </c>
      <c r="B173" s="422" t="s">
        <v>906</v>
      </c>
      <c r="C173" s="432" t="s">
        <v>972</v>
      </c>
      <c r="D173" s="439" t="s">
        <v>970</v>
      </c>
      <c r="E173" s="440" t="s">
        <v>696</v>
      </c>
      <c r="F173" s="454" t="s">
        <v>972</v>
      </c>
      <c r="G173" s="825" t="s">
        <v>971</v>
      </c>
      <c r="H173" s="523"/>
      <c r="I173" s="527">
        <v>2018</v>
      </c>
      <c r="J173" s="452" t="s">
        <v>1409</v>
      </c>
      <c r="K173" s="626" t="s">
        <v>1584</v>
      </c>
    </row>
    <row r="174" spans="1:13" hidden="1" outlineLevel="1" x14ac:dyDescent="0.25">
      <c r="A174" s="534" t="str">
        <f>IFERROR(IF(MATCH($B$151&amp;"-"&amp;$B174,'Protocol reference (numerical)'!$A$3:$A$217,0),"yes","x"),"no")</f>
        <v>no</v>
      </c>
      <c r="B174" s="422" t="s">
        <v>907</v>
      </c>
      <c r="C174" s="432" t="s">
        <v>973</v>
      </c>
      <c r="D174" s="439" t="s">
        <v>974</v>
      </c>
      <c r="E174" s="440" t="s">
        <v>696</v>
      </c>
      <c r="F174" s="454" t="s">
        <v>975</v>
      </c>
      <c r="G174" s="825">
        <v>0.6</v>
      </c>
      <c r="H174" s="523">
        <v>2015</v>
      </c>
      <c r="I174" s="527"/>
      <c r="J174" s="452" t="s">
        <v>1416</v>
      </c>
      <c r="K174" s="626" t="s">
        <v>1569</v>
      </c>
    </row>
    <row r="175" spans="1:13" ht="30" hidden="1" outlineLevel="1" x14ac:dyDescent="0.25">
      <c r="A175" s="534" t="str">
        <f>IFERROR(IF(MATCH($B$151&amp;"-"&amp;$B175,'Protocol reference (numerical)'!$A$3:$A$217,0),"yes","x"),"no")</f>
        <v>no</v>
      </c>
      <c r="B175" s="422" t="s">
        <v>909</v>
      </c>
      <c r="C175" s="432" t="s">
        <v>973</v>
      </c>
      <c r="D175" s="439" t="s">
        <v>974</v>
      </c>
      <c r="E175" s="440" t="s">
        <v>696</v>
      </c>
      <c r="F175" s="440" t="s">
        <v>976</v>
      </c>
      <c r="G175" s="825">
        <v>0.35</v>
      </c>
      <c r="H175" s="523"/>
      <c r="I175" s="884" t="s">
        <v>1570</v>
      </c>
      <c r="J175" s="452" t="s">
        <v>1416</v>
      </c>
      <c r="K175" s="626" t="s">
        <v>1569</v>
      </c>
      <c r="L175" s="791" t="s">
        <v>977</v>
      </c>
    </row>
    <row r="176" spans="1:13" hidden="1" outlineLevel="1" x14ac:dyDescent="0.25">
      <c r="A176" s="534" t="str">
        <f>IFERROR(IF(MATCH($B$151&amp;"-"&amp;$B176,'Protocol reference (numerical)'!$A$3:$A$217,0),"yes","x"),"no")</f>
        <v>no</v>
      </c>
      <c r="B176" s="422" t="s">
        <v>978</v>
      </c>
      <c r="C176" s="432" t="s">
        <v>973</v>
      </c>
      <c r="D176" s="439" t="s">
        <v>974</v>
      </c>
      <c r="E176" s="440" t="s">
        <v>696</v>
      </c>
      <c r="F176" s="440" t="s">
        <v>976</v>
      </c>
      <c r="G176" s="825">
        <v>0.5</v>
      </c>
      <c r="H176" s="523"/>
      <c r="I176" s="527">
        <v>2018</v>
      </c>
      <c r="J176" s="452" t="s">
        <v>1416</v>
      </c>
      <c r="K176" s="626" t="s">
        <v>1569</v>
      </c>
    </row>
    <row r="177" spans="1:14" hidden="1" outlineLevel="1" x14ac:dyDescent="0.25">
      <c r="A177" s="534" t="str">
        <f>IFERROR(IF(MATCH($B$151&amp;"-"&amp;$B177,'Protocol reference (numerical)'!$A$3:$A$217,0),"yes","x"),"no")</f>
        <v>no</v>
      </c>
      <c r="B177" s="1184">
        <v>13</v>
      </c>
      <c r="C177" s="432" t="s">
        <v>1807</v>
      </c>
      <c r="D177" s="439" t="s">
        <v>1808</v>
      </c>
      <c r="E177" s="440" t="s">
        <v>696</v>
      </c>
      <c r="F177" s="458" t="s">
        <v>1807</v>
      </c>
      <c r="G177" s="226"/>
      <c r="H177" s="862">
        <v>2009</v>
      </c>
      <c r="I177" s="527"/>
      <c r="J177" s="452" t="s">
        <v>1416</v>
      </c>
      <c r="K177" s="626" t="s">
        <v>1809</v>
      </c>
    </row>
    <row r="178" spans="1:14" hidden="1" outlineLevel="1" x14ac:dyDescent="0.25">
      <c r="A178" s="534" t="str">
        <f>IFERROR(IF(MATCH($B$151&amp;"-"&amp;$B178,'Protocol reference (numerical)'!$A$3:$A$217,0),"yes","x"),"no")</f>
        <v>no</v>
      </c>
      <c r="B178" s="1185">
        <v>14</v>
      </c>
      <c r="C178" s="458" t="s">
        <v>1810</v>
      </c>
      <c r="D178" s="455" t="s">
        <v>1811</v>
      </c>
      <c r="E178" s="440" t="s">
        <v>696</v>
      </c>
      <c r="F178" s="432" t="s">
        <v>1812</v>
      </c>
      <c r="G178" s="902"/>
      <c r="H178" s="878">
        <v>2010</v>
      </c>
      <c r="I178" s="873"/>
      <c r="J178" s="452" t="s">
        <v>1416</v>
      </c>
      <c r="K178" s="626"/>
    </row>
    <row r="179" spans="1:14" ht="30" hidden="1" outlineLevel="1" x14ac:dyDescent="0.25">
      <c r="A179" s="534" t="str">
        <f>IFERROR(IF(MATCH($B$151&amp;"-"&amp;$B179,'Protocol reference (numerical)'!$A$3:$A$217,0),"yes","x"),"no")</f>
        <v>no</v>
      </c>
      <c r="B179" s="422" t="s">
        <v>813</v>
      </c>
      <c r="C179" s="432" t="s">
        <v>979</v>
      </c>
      <c r="D179" s="439" t="s">
        <v>930</v>
      </c>
      <c r="E179" s="440" t="s">
        <v>784</v>
      </c>
      <c r="F179" s="440" t="s">
        <v>980</v>
      </c>
      <c r="G179" s="825">
        <v>0.5</v>
      </c>
      <c r="H179" s="523"/>
      <c r="I179" s="527">
        <v>2030</v>
      </c>
      <c r="J179" s="452"/>
      <c r="K179" s="626" t="s">
        <v>1571</v>
      </c>
    </row>
    <row r="180" spans="1:14" ht="30" hidden="1" outlineLevel="1" x14ac:dyDescent="0.25">
      <c r="A180" s="534" t="str">
        <f>IFERROR(IF(MATCH($B$151&amp;"-"&amp;$B180,'Protocol reference (numerical)'!$A$3:$A$217,0),"yes","x"),"no")</f>
        <v>no</v>
      </c>
      <c r="B180" s="422" t="s">
        <v>867</v>
      </c>
      <c r="C180" s="432" t="s">
        <v>979</v>
      </c>
      <c r="D180" s="439" t="s">
        <v>930</v>
      </c>
      <c r="E180" s="440" t="s">
        <v>784</v>
      </c>
      <c r="F180" s="440" t="s">
        <v>980</v>
      </c>
      <c r="G180" s="825">
        <v>1</v>
      </c>
      <c r="H180" s="523"/>
      <c r="I180" s="527">
        <v>2050</v>
      </c>
      <c r="J180" s="452"/>
      <c r="K180" s="626" t="s">
        <v>1571</v>
      </c>
    </row>
    <row r="181" spans="1:14" ht="30" hidden="1" outlineLevel="1" x14ac:dyDescent="0.25">
      <c r="A181" s="534" t="str">
        <f>IFERROR(IF(MATCH($B$151&amp;"-"&amp;$B181,'Protocol reference (numerical)'!$A$3:$A$217,0),"yes","x"),"no")</f>
        <v>no</v>
      </c>
      <c r="B181" s="422" t="s">
        <v>871</v>
      </c>
      <c r="C181" s="432" t="s">
        <v>981</v>
      </c>
      <c r="D181" s="439" t="s">
        <v>930</v>
      </c>
      <c r="E181" s="440" t="s">
        <v>784</v>
      </c>
      <c r="F181" s="440" t="s">
        <v>982</v>
      </c>
      <c r="G181" s="825">
        <v>1</v>
      </c>
      <c r="H181" s="523"/>
      <c r="I181" s="527">
        <v>2030</v>
      </c>
      <c r="J181" s="452"/>
      <c r="K181" s="626" t="s">
        <v>1571</v>
      </c>
    </row>
    <row r="182" spans="1:14" s="384" customFormat="1" hidden="1" outlineLevel="1" x14ac:dyDescent="0.25">
      <c r="A182" s="534" t="str">
        <f>IFERROR(IF(MATCH($B$151&amp;"-"&amp;$B182,'Protocol reference (numerical)'!$A$3:$A$217,0),"yes","x"),"no")</f>
        <v>no</v>
      </c>
      <c r="B182" s="422" t="s">
        <v>983</v>
      </c>
      <c r="C182" s="432" t="s">
        <v>984</v>
      </c>
      <c r="D182" s="439" t="s">
        <v>930</v>
      </c>
      <c r="E182" s="440" t="s">
        <v>784</v>
      </c>
      <c r="F182" s="454" t="s">
        <v>985</v>
      </c>
      <c r="G182" s="825">
        <v>0.4</v>
      </c>
      <c r="H182" s="523"/>
      <c r="I182" s="527">
        <v>2050</v>
      </c>
      <c r="J182" s="452"/>
      <c r="K182" s="626"/>
      <c r="L182" s="791" t="s">
        <v>1572</v>
      </c>
      <c r="M182" s="791"/>
      <c r="N182" s="669"/>
    </row>
    <row r="183" spans="1:14" s="384" customFormat="1" ht="30" hidden="1" outlineLevel="1" x14ac:dyDescent="0.25">
      <c r="A183" s="534" t="str">
        <f>IFERROR(IF(MATCH($B$151&amp;"-"&amp;$B183,'Protocol reference (numerical)'!$A$3:$A$217,0),"yes","x"),"no")</f>
        <v>no</v>
      </c>
      <c r="B183" s="422" t="s">
        <v>986</v>
      </c>
      <c r="C183" s="432" t="s">
        <v>987</v>
      </c>
      <c r="D183" s="439" t="s">
        <v>930</v>
      </c>
      <c r="E183" s="440" t="s">
        <v>784</v>
      </c>
      <c r="F183" s="440" t="s">
        <v>1573</v>
      </c>
      <c r="G183" s="825">
        <v>0.4</v>
      </c>
      <c r="H183" s="523"/>
      <c r="I183" s="527">
        <v>2050</v>
      </c>
      <c r="J183" s="452" t="s">
        <v>54</v>
      </c>
      <c r="K183" s="626" t="s">
        <v>1574</v>
      </c>
      <c r="L183" s="791" t="s">
        <v>1575</v>
      </c>
      <c r="M183" s="791"/>
      <c r="N183" s="669"/>
    </row>
    <row r="184" spans="1:14" s="384" customFormat="1" hidden="1" outlineLevel="1" x14ac:dyDescent="0.25">
      <c r="A184" s="534" t="str">
        <f>IFERROR(IF(MATCH($B$151&amp;"-"&amp;$B184,'Protocol reference (numerical)'!$A$3:$A$217,0),"yes","x"),"no")</f>
        <v>no</v>
      </c>
      <c r="B184" s="1186" t="s">
        <v>988</v>
      </c>
      <c r="C184" s="441" t="s">
        <v>987</v>
      </c>
      <c r="D184" s="442" t="s">
        <v>930</v>
      </c>
      <c r="E184" s="443" t="s">
        <v>784</v>
      </c>
      <c r="F184" s="443" t="s">
        <v>989</v>
      </c>
      <c r="G184" s="903">
        <v>0.3</v>
      </c>
      <c r="H184" s="430"/>
      <c r="I184" s="885">
        <v>2030</v>
      </c>
      <c r="J184" s="452" t="s">
        <v>1416</v>
      </c>
      <c r="K184" s="626"/>
      <c r="L184" s="791" t="s">
        <v>2229</v>
      </c>
      <c r="M184" s="791"/>
      <c r="N184" s="669"/>
    </row>
    <row r="185" spans="1:14" s="384" customFormat="1" hidden="1" outlineLevel="1" x14ac:dyDescent="0.25">
      <c r="A185" s="534" t="str">
        <f>IFERROR(IF(MATCH($B$151&amp;"-"&amp;$B185,'Protocol reference (numerical)'!$A$3:$A$217,0),"yes","x"),"no")</f>
        <v>no</v>
      </c>
      <c r="B185" s="1175" t="s">
        <v>990</v>
      </c>
      <c r="C185" s="451" t="s">
        <v>987</v>
      </c>
      <c r="D185" s="450" t="s">
        <v>930</v>
      </c>
      <c r="E185" s="449" t="s">
        <v>784</v>
      </c>
      <c r="F185" s="449" t="s">
        <v>989</v>
      </c>
      <c r="G185" s="900">
        <v>0.5</v>
      </c>
      <c r="H185" s="378"/>
      <c r="I185" s="874">
        <v>2050</v>
      </c>
      <c r="J185" s="452" t="s">
        <v>1416</v>
      </c>
      <c r="K185" s="839"/>
      <c r="L185" s="791"/>
      <c r="M185" s="791"/>
      <c r="N185" s="669"/>
    </row>
    <row r="186" spans="1:14" collapsed="1" x14ac:dyDescent="0.25">
      <c r="B186" s="43"/>
      <c r="C186" s="44"/>
      <c r="D186" s="44"/>
      <c r="E186" s="44"/>
      <c r="F186" s="44"/>
      <c r="G186" s="904"/>
      <c r="H186" s="870"/>
      <c r="I186" s="870"/>
      <c r="J186" s="44"/>
      <c r="K186" s="838"/>
      <c r="M186" s="803"/>
    </row>
    <row r="187" spans="1:14" ht="23.25" x14ac:dyDescent="0.35">
      <c r="B187" s="286" t="s">
        <v>4</v>
      </c>
      <c r="C187" s="16" t="s">
        <v>334</v>
      </c>
      <c r="D187" s="16" t="s">
        <v>335</v>
      </c>
      <c r="E187" s="40" t="s">
        <v>336</v>
      </c>
      <c r="F187" s="16" t="s">
        <v>1419</v>
      </c>
      <c r="G187" s="858" t="s">
        <v>337</v>
      </c>
      <c r="H187" s="858" t="s">
        <v>2</v>
      </c>
      <c r="I187" s="833" t="s">
        <v>338</v>
      </c>
      <c r="J187" s="29" t="s">
        <v>1418</v>
      </c>
      <c r="K187" s="833" t="s">
        <v>2201</v>
      </c>
      <c r="L187" s="798" t="s">
        <v>690</v>
      </c>
      <c r="M187" s="804"/>
    </row>
    <row r="188" spans="1:14" s="534" customFormat="1" ht="30" hidden="1" outlineLevel="1" x14ac:dyDescent="0.25">
      <c r="A188" s="534" t="str">
        <f>IFERROR(IF(MATCH($B$187&amp;"-"&amp;$B188,'Protocol reference (numerical)'!$A$3:$A$217,0),"yes","x"),"no")</f>
        <v>no</v>
      </c>
      <c r="B188" s="1194">
        <v>0</v>
      </c>
      <c r="C188" s="576" t="s">
        <v>2514</v>
      </c>
      <c r="D188" s="584" t="s">
        <v>2526</v>
      </c>
      <c r="E188" s="577" t="s">
        <v>784</v>
      </c>
      <c r="F188" s="576" t="s">
        <v>1870</v>
      </c>
      <c r="G188" s="578" t="s">
        <v>1871</v>
      </c>
      <c r="H188" s="578">
        <v>2005</v>
      </c>
      <c r="I188" s="585">
        <v>2030</v>
      </c>
      <c r="J188" s="122" t="s">
        <v>1404</v>
      </c>
      <c r="K188" s="623" t="s">
        <v>1871</v>
      </c>
      <c r="L188" s="97" t="s">
        <v>2230</v>
      </c>
      <c r="M188" s="97"/>
      <c r="N188" s="669"/>
    </row>
    <row r="189" spans="1:14" s="534" customFormat="1" hidden="1" outlineLevel="1" x14ac:dyDescent="0.25">
      <c r="A189" s="534" t="str">
        <f>IFERROR(IF(MATCH($B$187&amp;"-"&amp;$B189,'Protocol reference (numerical)'!$A$3:$A$217,0),"yes","x"),"no")</f>
        <v>no</v>
      </c>
      <c r="B189" s="1196"/>
      <c r="C189" s="500" t="s">
        <v>2514</v>
      </c>
      <c r="D189" s="586" t="s">
        <v>2527</v>
      </c>
      <c r="E189" s="573" t="s">
        <v>784</v>
      </c>
      <c r="F189" s="500" t="s">
        <v>476</v>
      </c>
      <c r="G189" s="587">
        <v>0.4</v>
      </c>
      <c r="H189" s="574"/>
      <c r="I189" s="588">
        <v>2030</v>
      </c>
      <c r="J189" s="122" t="s">
        <v>1405</v>
      </c>
      <c r="K189" s="624">
        <v>0.4</v>
      </c>
      <c r="L189" s="97"/>
      <c r="M189" s="97"/>
      <c r="N189" s="669"/>
    </row>
    <row r="190" spans="1:14" s="534" customFormat="1" hidden="1" outlineLevel="1" x14ac:dyDescent="0.25">
      <c r="A190" s="534" t="str">
        <f>IFERROR(IF(MATCH($B$187&amp;"-"&amp;$B190,'Protocol reference (numerical)'!$A$3:$A$217,0),"yes","x"),"no")</f>
        <v>no</v>
      </c>
      <c r="B190" s="1224"/>
      <c r="C190" s="589" t="s">
        <v>2514</v>
      </c>
      <c r="D190" s="586" t="s">
        <v>2528</v>
      </c>
      <c r="E190" s="573" t="s">
        <v>784</v>
      </c>
      <c r="F190" s="590" t="s">
        <v>1872</v>
      </c>
      <c r="G190" s="591" t="s">
        <v>1873</v>
      </c>
      <c r="H190" s="591"/>
      <c r="I190" s="592">
        <v>2030</v>
      </c>
      <c r="J190" s="593"/>
      <c r="K190" s="625"/>
      <c r="L190" s="97" t="s">
        <v>1874</v>
      </c>
      <c r="M190" s="97"/>
      <c r="N190" s="792"/>
    </row>
    <row r="191" spans="1:14" hidden="1" outlineLevel="1" x14ac:dyDescent="0.25">
      <c r="A191" s="534" t="str">
        <f>IFERROR(IF(MATCH($B$187&amp;"-"&amp;$B191,'Protocol reference (numerical)'!$A$3:$A$217,0),"yes","x"),"no")</f>
        <v>no</v>
      </c>
      <c r="B191" s="1197">
        <v>2</v>
      </c>
      <c r="C191" s="227" t="s">
        <v>519</v>
      </c>
      <c r="D191" s="222"/>
      <c r="E191" s="223"/>
      <c r="F191" s="224" t="s">
        <v>520</v>
      </c>
      <c r="G191" s="225">
        <v>1151</v>
      </c>
      <c r="H191" s="226">
        <v>2005</v>
      </c>
      <c r="I191" s="57">
        <v>2030</v>
      </c>
      <c r="J191" s="173" t="s">
        <v>1420</v>
      </c>
      <c r="K191" s="626"/>
      <c r="L191" s="97" t="s">
        <v>1517</v>
      </c>
      <c r="M191" s="97"/>
    </row>
    <row r="192" spans="1:14" ht="105" hidden="1" outlineLevel="1" x14ac:dyDescent="0.25">
      <c r="A192" s="534" t="str">
        <f>IFERROR(IF(MATCH($B$187&amp;"-"&amp;$B192,'Protocol reference (numerical)'!$A$3:$A$217,0),"yes","x"),"no")</f>
        <v>yes</v>
      </c>
      <c r="B192" s="1197" t="s">
        <v>503</v>
      </c>
      <c r="C192" s="227" t="s">
        <v>528</v>
      </c>
      <c r="D192" s="228" t="s">
        <v>991</v>
      </c>
      <c r="E192" s="223" t="s">
        <v>696</v>
      </c>
      <c r="F192" s="229" t="s">
        <v>992</v>
      </c>
      <c r="G192" s="230">
        <v>0.05</v>
      </c>
      <c r="H192" s="226">
        <v>2007</v>
      </c>
      <c r="I192" s="57"/>
      <c r="J192" s="173" t="s">
        <v>1420</v>
      </c>
      <c r="K192" s="627"/>
      <c r="L192" s="97" t="s">
        <v>2501</v>
      </c>
      <c r="M192" s="97" t="s">
        <v>2231</v>
      </c>
    </row>
    <row r="193" spans="1:14" ht="30" hidden="1" outlineLevel="1" x14ac:dyDescent="0.25">
      <c r="A193" s="534" t="str">
        <f>IFERROR(IF(MATCH($B$187&amp;"-"&amp;$B193,'Protocol reference (numerical)'!$A$3:$A$217,0),"yes","x"),"no")</f>
        <v>no</v>
      </c>
      <c r="B193" s="1197" t="s">
        <v>508</v>
      </c>
      <c r="C193" s="227"/>
      <c r="D193" s="228"/>
      <c r="E193" s="280" t="s">
        <v>784</v>
      </c>
      <c r="F193" s="229" t="s">
        <v>993</v>
      </c>
      <c r="G193" s="225" t="s">
        <v>994</v>
      </c>
      <c r="H193" s="226">
        <v>2008</v>
      </c>
      <c r="I193" s="57"/>
      <c r="J193" s="173" t="s">
        <v>1420</v>
      </c>
      <c r="K193" s="626"/>
      <c r="L193" s="97"/>
      <c r="M193" s="97" t="s">
        <v>1510</v>
      </c>
    </row>
    <row r="194" spans="1:14" s="534" customFormat="1" hidden="1" outlineLevel="1" x14ac:dyDescent="0.25">
      <c r="A194" s="534" t="str">
        <f>IFERROR(IF(MATCH($B$187&amp;"-"&amp;$B194,'Protocol reference (numerical)'!$A$3:$A$217,0),"yes","x"),"no")</f>
        <v>yes</v>
      </c>
      <c r="B194" s="1213" t="s">
        <v>732</v>
      </c>
      <c r="C194" s="227"/>
      <c r="D194" s="228"/>
      <c r="E194" s="400" t="s">
        <v>696</v>
      </c>
      <c r="F194" s="229" t="s">
        <v>2502</v>
      </c>
      <c r="G194" s="1161">
        <v>0.05</v>
      </c>
      <c r="H194" s="226">
        <v>2017</v>
      </c>
      <c r="I194" s="557"/>
      <c r="J194" s="173"/>
      <c r="K194" s="626"/>
      <c r="L194" s="669" t="s">
        <v>1678</v>
      </c>
      <c r="M194" s="97"/>
      <c r="N194" s="669"/>
    </row>
    <row r="195" spans="1:14" ht="45" hidden="1" outlineLevel="1" x14ac:dyDescent="0.25">
      <c r="A195" s="534" t="str">
        <f>IFERROR(IF(MATCH($B$187&amp;"-"&amp;$B195,'Protocol reference (numerical)'!$A$3:$A$217,0),"yes","x"),"no")</f>
        <v>yes</v>
      </c>
      <c r="B195" s="1197" t="s">
        <v>1086</v>
      </c>
      <c r="C195" s="227"/>
      <c r="D195" s="228"/>
      <c r="E195" s="400" t="s">
        <v>784</v>
      </c>
      <c r="F195" s="229" t="s">
        <v>995</v>
      </c>
      <c r="G195" s="225" t="s">
        <v>996</v>
      </c>
      <c r="H195" s="226"/>
      <c r="I195" s="57">
        <v>2017</v>
      </c>
      <c r="J195" s="173" t="s">
        <v>1464</v>
      </c>
      <c r="K195" s="628">
        <v>0.2</v>
      </c>
      <c r="L195" s="669"/>
      <c r="M195" s="669"/>
    </row>
    <row r="196" spans="1:14" hidden="1" outlineLevel="1" x14ac:dyDescent="0.25">
      <c r="A196" s="534" t="str">
        <f>IFERROR(IF(MATCH($B$187&amp;"-"&amp;$B196,'Protocol reference (numerical)'!$A$3:$A$217,0),"yes","x"),"no")</f>
        <v>yes</v>
      </c>
      <c r="B196" s="1197" t="s">
        <v>1090</v>
      </c>
      <c r="C196" s="227"/>
      <c r="D196" s="228"/>
      <c r="E196" s="223" t="s">
        <v>696</v>
      </c>
      <c r="F196" s="229" t="s">
        <v>1679</v>
      </c>
      <c r="G196" s="275">
        <v>4.2000000000000003E-2</v>
      </c>
      <c r="H196" s="226"/>
      <c r="I196" s="57">
        <v>2017</v>
      </c>
      <c r="J196" s="173" t="s">
        <v>1464</v>
      </c>
      <c r="K196" s="629">
        <v>4.2000000000000003E-2</v>
      </c>
      <c r="L196" s="97" t="s">
        <v>2266</v>
      </c>
      <c r="M196" s="97"/>
    </row>
    <row r="197" spans="1:14" ht="30" hidden="1" outlineLevel="1" x14ac:dyDescent="0.25">
      <c r="A197" s="534" t="str">
        <f>IFERROR(IF(MATCH($B$187&amp;"-"&amp;$B197,'Protocol reference (numerical)'!$A$3:$A$217,0),"yes","x"),"no")</f>
        <v>no</v>
      </c>
      <c r="B197" s="1197" t="s">
        <v>1094</v>
      </c>
      <c r="C197" s="227"/>
      <c r="D197" s="228"/>
      <c r="E197" s="223"/>
      <c r="F197" s="229" t="s">
        <v>997</v>
      </c>
      <c r="G197" s="225" t="s">
        <v>998</v>
      </c>
      <c r="H197" s="226">
        <v>2005</v>
      </c>
      <c r="I197" s="57" t="s">
        <v>999</v>
      </c>
      <c r="J197" s="173" t="s">
        <v>1420</v>
      </c>
      <c r="K197" s="626"/>
      <c r="L197" s="97" t="s">
        <v>2232</v>
      </c>
    </row>
    <row r="198" spans="1:14" hidden="1" outlineLevel="1" x14ac:dyDescent="0.25">
      <c r="A198" s="534" t="str">
        <f>IFERROR(IF(MATCH($B$187&amp;"-"&amp;$B198,'Protocol reference (numerical)'!$A$3:$A$217,0),"yes","x"),"no")</f>
        <v>no</v>
      </c>
      <c r="B198" s="1197" t="s">
        <v>1098</v>
      </c>
      <c r="C198" s="227"/>
      <c r="D198" s="228"/>
      <c r="E198" s="223"/>
      <c r="F198" s="229" t="s">
        <v>1000</v>
      </c>
      <c r="G198" s="225">
        <v>4</v>
      </c>
      <c r="H198" s="226">
        <v>2005</v>
      </c>
      <c r="I198" s="57">
        <v>2030</v>
      </c>
      <c r="J198" s="173" t="s">
        <v>1420</v>
      </c>
      <c r="K198" s="626"/>
      <c r="L198" s="97" t="s">
        <v>2232</v>
      </c>
    </row>
    <row r="199" spans="1:14" hidden="1" outlineLevel="1" x14ac:dyDescent="0.25">
      <c r="A199" s="534" t="str">
        <f>IFERROR(IF(MATCH($B$187&amp;"-"&amp;$B199,'Protocol reference (numerical)'!$A$3:$A$217,0),"yes","x"),"no")</f>
        <v>no</v>
      </c>
      <c r="B199" s="1197">
        <v>8</v>
      </c>
      <c r="C199" s="227" t="s">
        <v>1514</v>
      </c>
      <c r="D199" s="227"/>
      <c r="E199" s="280" t="s">
        <v>696</v>
      </c>
      <c r="F199" s="224" t="s">
        <v>529</v>
      </c>
      <c r="G199" s="225">
        <v>84</v>
      </c>
      <c r="H199" s="226">
        <v>2005</v>
      </c>
      <c r="I199" s="57">
        <v>2020</v>
      </c>
      <c r="J199" s="173" t="s">
        <v>1420</v>
      </c>
      <c r="K199" s="626"/>
      <c r="L199" s="97" t="s">
        <v>2233</v>
      </c>
    </row>
    <row r="200" spans="1:14" ht="90" hidden="1" outlineLevel="1" x14ac:dyDescent="0.25">
      <c r="A200" s="534" t="str">
        <f>IFERROR(IF(MATCH($B$187&amp;"-"&amp;$B200,'Protocol reference (numerical)'!$A$3:$A$217,0),"yes","x"),"no")</f>
        <v>yes</v>
      </c>
      <c r="B200" s="1197" t="s">
        <v>5</v>
      </c>
      <c r="C200" s="229" t="s">
        <v>1392</v>
      </c>
      <c r="D200" s="228" t="s">
        <v>1001</v>
      </c>
      <c r="E200" s="223" t="s">
        <v>696</v>
      </c>
      <c r="F200" s="224" t="s">
        <v>532</v>
      </c>
      <c r="G200" s="329" t="s">
        <v>2262</v>
      </c>
      <c r="H200" s="226" t="s">
        <v>374</v>
      </c>
      <c r="I200" s="57">
        <v>2015</v>
      </c>
      <c r="J200" s="173" t="s">
        <v>54</v>
      </c>
      <c r="K200" s="651" t="s">
        <v>2200</v>
      </c>
      <c r="L200" s="97" t="s">
        <v>2234</v>
      </c>
      <c r="M200" s="97" t="s">
        <v>2235</v>
      </c>
    </row>
    <row r="201" spans="1:14" ht="60" hidden="1" outlineLevel="1" x14ac:dyDescent="0.25">
      <c r="A201" s="534" t="str">
        <f>IFERROR(IF(MATCH($B$187&amp;"-"&amp;$B201,'Protocol reference (numerical)'!$A$3:$A$217,0),"yes","x"),"no")</f>
        <v>yes</v>
      </c>
      <c r="B201" s="1197" t="s">
        <v>813</v>
      </c>
      <c r="C201" s="229" t="s">
        <v>1025</v>
      </c>
      <c r="D201" s="228" t="s">
        <v>1001</v>
      </c>
      <c r="E201" s="223" t="s">
        <v>696</v>
      </c>
      <c r="F201" s="224" t="s">
        <v>532</v>
      </c>
      <c r="G201" s="329" t="s">
        <v>2263</v>
      </c>
      <c r="H201" s="226" t="s">
        <v>374</v>
      </c>
      <c r="I201" s="57">
        <v>2019</v>
      </c>
      <c r="J201" s="173" t="s">
        <v>1466</v>
      </c>
      <c r="K201" s="651" t="s">
        <v>2264</v>
      </c>
      <c r="L201" s="97" t="s">
        <v>1513</v>
      </c>
      <c r="M201" s="97" t="s">
        <v>2236</v>
      </c>
    </row>
    <row r="202" spans="1:14" ht="45" hidden="1" outlineLevel="1" x14ac:dyDescent="0.25">
      <c r="A202" s="534" t="str">
        <f>IFERROR(IF(MATCH($B$187&amp;"-"&amp;$B202,'Protocol reference (numerical)'!$A$3:$A$217,0),"yes","x"),"no")</f>
        <v>yes</v>
      </c>
      <c r="B202" s="1197" t="s">
        <v>9</v>
      </c>
      <c r="C202" s="227" t="s">
        <v>533</v>
      </c>
      <c r="D202" s="228" t="s">
        <v>1002</v>
      </c>
      <c r="E202" s="223" t="s">
        <v>696</v>
      </c>
      <c r="F202" s="224" t="s">
        <v>1003</v>
      </c>
      <c r="G202" s="225" t="s">
        <v>1004</v>
      </c>
      <c r="H202" s="226">
        <v>2013</v>
      </c>
      <c r="I202" s="57">
        <v>2020</v>
      </c>
      <c r="J202" s="173" t="s">
        <v>1411</v>
      </c>
      <c r="K202" s="626" t="s">
        <v>1511</v>
      </c>
      <c r="L202" s="805" t="s">
        <v>1005</v>
      </c>
      <c r="M202" s="805" t="s">
        <v>2237</v>
      </c>
    </row>
    <row r="203" spans="1:14" hidden="1" outlineLevel="1" x14ac:dyDescent="0.25">
      <c r="A203" s="534" t="str">
        <f>IFERROR(IF(MATCH($B$187&amp;"-"&amp;$B203,'Protocol reference (numerical)'!$A$3:$A$217,0),"yes","x"),"no")</f>
        <v>no</v>
      </c>
      <c r="B203" s="1197"/>
      <c r="C203" s="227"/>
      <c r="D203" s="228"/>
      <c r="E203" s="223"/>
      <c r="F203" s="224" t="s">
        <v>1006</v>
      </c>
      <c r="G203" s="225" t="s">
        <v>1007</v>
      </c>
      <c r="H203" s="226">
        <v>2013</v>
      </c>
      <c r="I203" s="57">
        <v>2020</v>
      </c>
      <c r="J203" s="173"/>
      <c r="K203" s="626"/>
      <c r="L203" s="97"/>
      <c r="M203" s="805"/>
    </row>
    <row r="204" spans="1:14" ht="60" hidden="1" outlineLevel="1" x14ac:dyDescent="0.25">
      <c r="A204" s="534" t="str">
        <f>IFERROR(IF(MATCH($B$187&amp;"-"&amp;$B204,'Protocol reference (numerical)'!$A$3:$A$217,0),"yes","x"),"no")</f>
        <v>no</v>
      </c>
      <c r="B204" s="1197">
        <v>6</v>
      </c>
      <c r="C204" s="227" t="s">
        <v>523</v>
      </c>
      <c r="D204" s="227"/>
      <c r="E204" s="280" t="s">
        <v>784</v>
      </c>
      <c r="F204" s="224" t="s">
        <v>524</v>
      </c>
      <c r="G204" s="225" t="s">
        <v>525</v>
      </c>
      <c r="H204" s="226" t="s">
        <v>526</v>
      </c>
      <c r="I204" s="57" t="s">
        <v>527</v>
      </c>
      <c r="J204" s="173" t="s">
        <v>1420</v>
      </c>
      <c r="K204" s="630" t="s">
        <v>2265</v>
      </c>
      <c r="L204" s="97"/>
      <c r="M204" s="97" t="s">
        <v>2238</v>
      </c>
    </row>
    <row r="205" spans="1:14" s="534" customFormat="1" ht="30" hidden="1" outlineLevel="1" x14ac:dyDescent="0.25">
      <c r="A205" s="534" t="str">
        <f>IFERROR(IF(MATCH($B$187&amp;"-"&amp;$B205,'Protocol reference (numerical)'!$A$3:$A$217,0),"yes","x"),"no")</f>
        <v>yes</v>
      </c>
      <c r="B205" s="1213">
        <v>3</v>
      </c>
      <c r="C205" s="229" t="s">
        <v>2499</v>
      </c>
      <c r="D205" s="228"/>
      <c r="E205" s="400" t="s">
        <v>696</v>
      </c>
      <c r="F205" s="535" t="s">
        <v>2500</v>
      </c>
      <c r="G205" s="1161">
        <v>0.15</v>
      </c>
      <c r="H205" s="226"/>
      <c r="I205" s="557">
        <v>2020</v>
      </c>
      <c r="J205" s="173"/>
      <c r="K205" s="626"/>
      <c r="L205" s="97"/>
      <c r="M205" s="791"/>
      <c r="N205" s="669"/>
    </row>
    <row r="206" spans="1:14" ht="30" hidden="1" outlineLevel="1" x14ac:dyDescent="0.25">
      <c r="A206" s="534" t="str">
        <f>IFERROR(IF(MATCH($B$187&amp;"-"&amp;$B206,'Protocol reference (numerical)'!$A$3:$A$217,0),"yes","x"),"no")</f>
        <v>yes</v>
      </c>
      <c r="B206" s="1197" t="s">
        <v>5</v>
      </c>
      <c r="C206" s="227" t="s">
        <v>521</v>
      </c>
      <c r="D206" s="228" t="s">
        <v>1012</v>
      </c>
      <c r="E206" s="223" t="s">
        <v>696</v>
      </c>
      <c r="F206" s="224" t="s">
        <v>518</v>
      </c>
      <c r="G206" s="225" t="s">
        <v>1013</v>
      </c>
      <c r="H206" s="226"/>
      <c r="I206" s="57">
        <v>2022</v>
      </c>
      <c r="J206" s="173" t="s">
        <v>1408</v>
      </c>
      <c r="K206" s="626" t="s">
        <v>1013</v>
      </c>
      <c r="L206" s="97" t="s">
        <v>1014</v>
      </c>
    </row>
    <row r="207" spans="1:14" hidden="1" outlineLevel="1" x14ac:dyDescent="0.25">
      <c r="A207" s="534" t="str">
        <f>IFERROR(IF(MATCH($B$187&amp;"-"&amp;$B207,'Protocol reference (numerical)'!$A$3:$A$217,0),"yes","x"),"no")</f>
        <v>yes</v>
      </c>
      <c r="B207" s="1197" t="s">
        <v>813</v>
      </c>
      <c r="C207" s="227" t="s">
        <v>1393</v>
      </c>
      <c r="D207" s="328"/>
      <c r="E207" s="280" t="s">
        <v>696</v>
      </c>
      <c r="F207" s="289" t="s">
        <v>1384</v>
      </c>
      <c r="G207" s="225" t="s">
        <v>1394</v>
      </c>
      <c r="H207" s="226"/>
      <c r="I207" s="57">
        <v>2022</v>
      </c>
      <c r="J207" s="173" t="s">
        <v>1408</v>
      </c>
      <c r="K207" s="626" t="s">
        <v>1394</v>
      </c>
      <c r="L207" s="97"/>
    </row>
    <row r="208" spans="1:14" ht="30" hidden="1" outlineLevel="1" x14ac:dyDescent="0.25">
      <c r="A208" s="534" t="str">
        <f>IFERROR(IF(MATCH($B$187&amp;"-"&amp;$B208,'Protocol reference (numerical)'!$A$3:$A$217,0),"yes","x"),"no")</f>
        <v>yes</v>
      </c>
      <c r="B208" s="1197" t="s">
        <v>867</v>
      </c>
      <c r="C208" s="229" t="s">
        <v>1008</v>
      </c>
      <c r="D208" s="228" t="s">
        <v>1009</v>
      </c>
      <c r="E208" s="223" t="s">
        <v>696</v>
      </c>
      <c r="F208" s="224" t="s">
        <v>518</v>
      </c>
      <c r="G208" s="225" t="s">
        <v>1010</v>
      </c>
      <c r="H208" s="226"/>
      <c r="I208" s="57">
        <v>2022</v>
      </c>
      <c r="J208" s="173" t="s">
        <v>1408</v>
      </c>
      <c r="K208" s="626" t="s">
        <v>1010</v>
      </c>
      <c r="L208" s="97" t="s">
        <v>1011</v>
      </c>
    </row>
    <row r="209" spans="1:14" ht="105" hidden="1" outlineLevel="1" x14ac:dyDescent="0.25">
      <c r="A209" s="534" t="str">
        <f>IFERROR(IF(MATCH($B$187&amp;"-"&amp;$B209,'Protocol reference (numerical)'!$A$3:$A$217,0),"yes","x"),"no")</f>
        <v>no</v>
      </c>
      <c r="B209" s="1197">
        <v>2</v>
      </c>
      <c r="C209" s="227" t="s">
        <v>1395</v>
      </c>
      <c r="D209" s="280"/>
      <c r="E209" s="223" t="s">
        <v>696</v>
      </c>
      <c r="F209" s="224" t="s">
        <v>1396</v>
      </c>
      <c r="G209" s="329" t="s">
        <v>2257</v>
      </c>
      <c r="H209" s="226">
        <v>2011</v>
      </c>
      <c r="I209" s="57">
        <v>2020</v>
      </c>
      <c r="J209" s="173" t="s">
        <v>1416</v>
      </c>
      <c r="K209" s="626"/>
      <c r="L209" s="97" t="s">
        <v>1397</v>
      </c>
      <c r="M209" s="791" t="s">
        <v>2239</v>
      </c>
    </row>
    <row r="210" spans="1:14" ht="135" hidden="1" outlineLevel="1" x14ac:dyDescent="0.25">
      <c r="A210" s="534" t="str">
        <f>IFERROR(IF(MATCH($B$187&amp;"-"&amp;$B210,'Protocol reference (numerical)'!$A$3:$A$217,0),"yes","x"),"no")</f>
        <v>yes</v>
      </c>
      <c r="B210" s="1197">
        <v>5</v>
      </c>
      <c r="C210" s="229" t="s">
        <v>522</v>
      </c>
      <c r="D210" s="111" t="s">
        <v>1015</v>
      </c>
      <c r="E210" s="280" t="s">
        <v>696</v>
      </c>
      <c r="F210" s="334" t="s">
        <v>1398</v>
      </c>
      <c r="G210" s="329" t="s">
        <v>1742</v>
      </c>
      <c r="H210" s="329">
        <v>2005</v>
      </c>
      <c r="I210" s="151">
        <v>2030</v>
      </c>
      <c r="J210" s="177" t="s">
        <v>1407</v>
      </c>
      <c r="K210" s="630" t="s">
        <v>2199</v>
      </c>
      <c r="L210" s="97" t="s">
        <v>1399</v>
      </c>
      <c r="M210" s="97" t="s">
        <v>2240</v>
      </c>
      <c r="N210" s="674"/>
    </row>
    <row r="211" spans="1:14" hidden="1" outlineLevel="1" x14ac:dyDescent="0.25">
      <c r="A211" s="534" t="str">
        <f>IFERROR(IF(MATCH($B$187&amp;"-"&amp;$B211,'Protocol reference (numerical)'!$A$3:$A$217,0),"yes","x"),"no")</f>
        <v>yes</v>
      </c>
      <c r="B211" s="1197" t="s">
        <v>33</v>
      </c>
      <c r="C211" s="229" t="s">
        <v>534</v>
      </c>
      <c r="D211" s="228" t="s">
        <v>1016</v>
      </c>
      <c r="E211" s="400" t="s">
        <v>696</v>
      </c>
      <c r="F211" s="224" t="s">
        <v>535</v>
      </c>
      <c r="G211" s="225" t="s">
        <v>1017</v>
      </c>
      <c r="H211" s="226"/>
      <c r="I211" s="151">
        <v>2017</v>
      </c>
      <c r="J211" s="173" t="s">
        <v>1412</v>
      </c>
      <c r="K211" s="626" t="s">
        <v>1515</v>
      </c>
      <c r="L211" s="97"/>
      <c r="M211" s="97"/>
    </row>
    <row r="212" spans="1:14" hidden="1" outlineLevel="1" x14ac:dyDescent="0.25">
      <c r="A212" s="534" t="str">
        <f>IFERROR(IF(MATCH($B$187&amp;"-"&amp;$B212,'Protocol reference (numerical)'!$A$3:$A$217,0),"yes","x"),"no")</f>
        <v>yes</v>
      </c>
      <c r="B212" s="1197" t="s">
        <v>561</v>
      </c>
      <c r="C212" s="229"/>
      <c r="D212" s="228"/>
      <c r="E212" s="223"/>
      <c r="F212" s="224"/>
      <c r="G212" s="225" t="s">
        <v>1018</v>
      </c>
      <c r="H212" s="226"/>
      <c r="I212" s="151">
        <v>2022</v>
      </c>
      <c r="J212" s="173" t="s">
        <v>1412</v>
      </c>
      <c r="K212" s="626" t="s">
        <v>1516</v>
      </c>
      <c r="L212" s="97"/>
      <c r="M212" s="97"/>
    </row>
    <row r="213" spans="1:14" ht="45" hidden="1" outlineLevel="1" x14ac:dyDescent="0.25">
      <c r="A213" s="534" t="str">
        <f>IFERROR(IF(MATCH($B$187&amp;"-"&amp;$B213,'Protocol reference (numerical)'!$A$3:$A$217,0),"yes","x"),"no")</f>
        <v>no</v>
      </c>
      <c r="B213" s="1197">
        <v>4</v>
      </c>
      <c r="C213" s="229" t="s">
        <v>1019</v>
      </c>
      <c r="D213" s="228" t="s">
        <v>1020</v>
      </c>
      <c r="E213" s="223" t="s">
        <v>784</v>
      </c>
      <c r="F213" s="224" t="s">
        <v>518</v>
      </c>
      <c r="G213" s="225" t="s">
        <v>1021</v>
      </c>
      <c r="H213" s="226"/>
      <c r="I213" s="57">
        <v>2022</v>
      </c>
      <c r="J213" s="173" t="s">
        <v>1408</v>
      </c>
      <c r="K213" s="626" t="s">
        <v>1512</v>
      </c>
      <c r="L213" s="673" t="s">
        <v>1022</v>
      </c>
      <c r="M213" s="806" t="s">
        <v>1023</v>
      </c>
    </row>
    <row r="214" spans="1:14" hidden="1" outlineLevel="1" x14ac:dyDescent="0.25">
      <c r="A214" s="534" t="str">
        <f>IFERROR(IF(MATCH($B$187&amp;"-"&amp;$B214,'Protocol reference (numerical)'!$A$3:$A$217,0),"yes","x"),"no")</f>
        <v>no</v>
      </c>
      <c r="B214" s="1197" t="s">
        <v>939</v>
      </c>
      <c r="C214" s="227" t="s">
        <v>533</v>
      </c>
      <c r="D214" s="228"/>
      <c r="E214" s="223" t="s">
        <v>784</v>
      </c>
      <c r="F214" s="224" t="s">
        <v>1003</v>
      </c>
      <c r="G214" s="225" t="s">
        <v>1024</v>
      </c>
      <c r="H214" s="226"/>
      <c r="I214" s="57">
        <v>2020</v>
      </c>
      <c r="J214" s="173" t="s">
        <v>1416</v>
      </c>
      <c r="K214" s="626"/>
      <c r="L214" s="805"/>
      <c r="M214" s="805"/>
    </row>
    <row r="215" spans="1:14" ht="75" hidden="1" outlineLevel="1" x14ac:dyDescent="0.25">
      <c r="A215" s="534" t="str">
        <f>IFERROR(IF(MATCH($B$187&amp;"-"&amp;$B215,'Protocol reference (numerical)'!$A$3:$A$217,0),"yes","x"),"no")</f>
        <v>yes</v>
      </c>
      <c r="B215" s="1197" t="s">
        <v>700</v>
      </c>
      <c r="C215" s="229" t="s">
        <v>1008</v>
      </c>
      <c r="D215" s="228" t="s">
        <v>1009</v>
      </c>
      <c r="E215" s="400" t="s">
        <v>696</v>
      </c>
      <c r="F215" s="224" t="s">
        <v>518</v>
      </c>
      <c r="G215" s="329" t="s">
        <v>2269</v>
      </c>
      <c r="H215" s="226"/>
      <c r="I215" s="57">
        <v>2022</v>
      </c>
      <c r="J215" s="173" t="s">
        <v>1408</v>
      </c>
      <c r="K215" s="626" t="s">
        <v>849</v>
      </c>
      <c r="L215" s="97" t="s">
        <v>1400</v>
      </c>
      <c r="M215" s="97" t="s">
        <v>2241</v>
      </c>
    </row>
    <row r="216" spans="1:14" ht="30" hidden="1" outlineLevel="1" x14ac:dyDescent="0.25">
      <c r="A216" s="534" t="str">
        <f>IFERROR(IF(MATCH($B$187&amp;"-"&amp;$B216,'Protocol reference (numerical)'!$A$3:$A$217,0),"yes","x"),"no")</f>
        <v>yes</v>
      </c>
      <c r="B216" s="1197" t="s">
        <v>813</v>
      </c>
      <c r="C216" s="227" t="s">
        <v>521</v>
      </c>
      <c r="D216" s="228" t="s">
        <v>1012</v>
      </c>
      <c r="E216" s="400" t="s">
        <v>696</v>
      </c>
      <c r="F216" s="224" t="s">
        <v>518</v>
      </c>
      <c r="G216" s="225" t="s">
        <v>1026</v>
      </c>
      <c r="H216" s="226"/>
      <c r="I216" s="57">
        <v>2022</v>
      </c>
      <c r="J216" s="173" t="s">
        <v>1408</v>
      </c>
      <c r="K216" s="626" t="s">
        <v>1026</v>
      </c>
      <c r="L216" s="97" t="s">
        <v>1401</v>
      </c>
      <c r="M216" s="97"/>
    </row>
    <row r="217" spans="1:14" ht="30" hidden="1" outlineLevel="1" x14ac:dyDescent="0.25">
      <c r="A217" s="534" t="str">
        <f>IFERROR(IF(MATCH($B$187&amp;"-"&amp;$B217,'Protocol reference (numerical)'!$A$3:$A$217,0),"yes","x"),"no")</f>
        <v>yes</v>
      </c>
      <c r="B217" s="1197" t="s">
        <v>871</v>
      </c>
      <c r="C217" s="229"/>
      <c r="D217" s="228"/>
      <c r="E217" s="280"/>
      <c r="F217" s="289"/>
      <c r="G217" s="225" t="s">
        <v>1027</v>
      </c>
      <c r="H217" s="226"/>
      <c r="I217" s="57"/>
      <c r="J217" s="173" t="s">
        <v>1408</v>
      </c>
      <c r="K217" s="626" t="s">
        <v>467</v>
      </c>
      <c r="L217" s="97" t="s">
        <v>2242</v>
      </c>
      <c r="M217" s="806"/>
    </row>
    <row r="218" spans="1:14" ht="45" hidden="1" outlineLevel="1" x14ac:dyDescent="0.25">
      <c r="A218" s="534" t="str">
        <f>IFERROR(IF(MATCH($B$187&amp;"-"&amp;$B218,'Protocol reference (numerical)'!$A$3:$A$217,0),"yes","x"),"no")</f>
        <v>yes</v>
      </c>
      <c r="B218" s="1206">
        <v>9</v>
      </c>
      <c r="C218" s="231" t="s">
        <v>530</v>
      </c>
      <c r="D218" s="232" t="s">
        <v>1028</v>
      </c>
      <c r="E218" s="233" t="s">
        <v>784</v>
      </c>
      <c r="F218" s="234" t="s">
        <v>1029</v>
      </c>
      <c r="G218" s="330" t="s">
        <v>1030</v>
      </c>
      <c r="H218" s="331">
        <v>2005</v>
      </c>
      <c r="I218" s="632">
        <v>2030</v>
      </c>
      <c r="J218" s="613" t="s">
        <v>1417</v>
      </c>
      <c r="K218" s="633" t="s">
        <v>1030</v>
      </c>
      <c r="L218" s="670" t="s">
        <v>2243</v>
      </c>
      <c r="M218" s="97"/>
    </row>
    <row r="219" spans="1:14" hidden="1" outlineLevel="1" x14ac:dyDescent="0.25">
      <c r="A219" s="534" t="str">
        <f>IFERROR(IF(MATCH($B$187&amp;"-"&amp;$B219,'Protocol reference (numerical)'!$A$3:$A$217,0),"yes","x"),"no")</f>
        <v>no</v>
      </c>
      <c r="B219" s="1208"/>
      <c r="C219" s="114"/>
      <c r="D219" s="115"/>
      <c r="E219" s="116"/>
      <c r="F219" s="48" t="s">
        <v>1031</v>
      </c>
      <c r="G219" s="332" t="s">
        <v>1032</v>
      </c>
      <c r="H219" s="269">
        <v>2005</v>
      </c>
      <c r="I219" s="270">
        <v>2030</v>
      </c>
      <c r="J219" s="613" t="s">
        <v>1420</v>
      </c>
      <c r="K219" s="633" t="s">
        <v>1879</v>
      </c>
      <c r="L219" s="670" t="s">
        <v>2243</v>
      </c>
      <c r="M219" s="97"/>
    </row>
    <row r="220" spans="1:14" s="534" customFormat="1" hidden="1" outlineLevel="1" x14ac:dyDescent="0.25">
      <c r="A220" s="534" t="str">
        <f>IFERROR(IF(MATCH($B$187&amp;"-"&amp;$B220,'Protocol reference (numerical)'!$A$3:$A$217,0),"yes","x"),"no")</f>
        <v>no</v>
      </c>
      <c r="B220" s="1225"/>
      <c r="C220" s="114"/>
      <c r="D220" s="115"/>
      <c r="E220" s="402"/>
      <c r="F220" s="398"/>
      <c r="G220" s="700" t="s">
        <v>1892</v>
      </c>
      <c r="H220" s="269"/>
      <c r="I220" s="270">
        <v>2020</v>
      </c>
      <c r="J220" s="698"/>
      <c r="K220" s="699"/>
      <c r="L220" s="670" t="s">
        <v>1893</v>
      </c>
      <c r="M220" s="97"/>
      <c r="N220" s="669"/>
    </row>
    <row r="221" spans="1:14" ht="45" hidden="1" outlineLevel="1" x14ac:dyDescent="0.25">
      <c r="A221" s="534" t="str">
        <f>IFERROR(IF(MATCH($B$187&amp;"-"&amp;$B221,'Protocol reference (numerical)'!$A$3:$A$217,0),"yes","x"),"no")</f>
        <v>no</v>
      </c>
      <c r="B221" s="1226">
        <v>11</v>
      </c>
      <c r="C221" s="117" t="s">
        <v>531</v>
      </c>
      <c r="D221" s="118" t="s">
        <v>1033</v>
      </c>
      <c r="E221" s="119" t="s">
        <v>784</v>
      </c>
      <c r="F221" s="120" t="s">
        <v>1031</v>
      </c>
      <c r="G221" s="333" t="s">
        <v>1034</v>
      </c>
      <c r="H221" s="155">
        <v>2005</v>
      </c>
      <c r="I221" s="156">
        <v>2030</v>
      </c>
      <c r="J221" s="615" t="s">
        <v>1420</v>
      </c>
      <c r="K221" s="634" t="s">
        <v>1880</v>
      </c>
      <c r="L221" s="97" t="s">
        <v>2244</v>
      </c>
      <c r="M221" s="97" t="s">
        <v>1035</v>
      </c>
      <c r="N221" s="97"/>
    </row>
    <row r="222" spans="1:14" collapsed="1" x14ac:dyDescent="0.25">
      <c r="B222" s="44"/>
      <c r="C222" s="7"/>
      <c r="D222" s="7"/>
      <c r="E222" s="44"/>
      <c r="F222" s="7"/>
      <c r="G222" s="838"/>
      <c r="H222" s="838"/>
      <c r="I222" s="838"/>
      <c r="J222" s="7"/>
      <c r="K222" s="838"/>
      <c r="L222" s="97"/>
      <c r="M222" s="97"/>
    </row>
    <row r="223" spans="1:14" ht="23.25" x14ac:dyDescent="0.35">
      <c r="B223" s="286" t="s">
        <v>6</v>
      </c>
      <c r="C223" s="16" t="s">
        <v>334</v>
      </c>
      <c r="D223" s="16" t="s">
        <v>335</v>
      </c>
      <c r="E223" s="40" t="s">
        <v>336</v>
      </c>
      <c r="F223" s="16" t="s">
        <v>1419</v>
      </c>
      <c r="G223" s="858" t="s">
        <v>337</v>
      </c>
      <c r="H223" s="858" t="s">
        <v>2</v>
      </c>
      <c r="I223" s="833" t="s">
        <v>338</v>
      </c>
      <c r="J223" s="29" t="s">
        <v>1418</v>
      </c>
      <c r="K223" s="833" t="s">
        <v>2201</v>
      </c>
      <c r="L223" s="798" t="s">
        <v>690</v>
      </c>
    </row>
    <row r="224" spans="1:14" hidden="1" outlineLevel="1" x14ac:dyDescent="0.25">
      <c r="A224" s="534" t="str">
        <f>IFERROR(IF(MATCH($B$223&amp;"-"&amp;$B224,'Protocol reference (numerical)'!$A$3:$A$217,0),"yes","x"),"no")</f>
        <v>no</v>
      </c>
      <c r="B224" s="1221">
        <v>0</v>
      </c>
      <c r="C224" s="121" t="s">
        <v>2514</v>
      </c>
      <c r="D224" s="923" t="s">
        <v>2529</v>
      </c>
      <c r="E224" s="515" t="s">
        <v>784</v>
      </c>
      <c r="F224" s="121" t="s">
        <v>339</v>
      </c>
      <c r="G224" s="122" t="s">
        <v>497</v>
      </c>
      <c r="H224" s="122" t="s">
        <v>374</v>
      </c>
      <c r="I224" s="123">
        <v>2030</v>
      </c>
      <c r="J224" s="606" t="s">
        <v>1467</v>
      </c>
      <c r="K224" s="606"/>
    </row>
    <row r="225" spans="1:14" ht="30" hidden="1" outlineLevel="1" x14ac:dyDescent="0.25">
      <c r="A225" s="534" t="str">
        <f>IFERROR(IF(MATCH($B$223&amp;"-"&amp;$B225,'Protocol reference (numerical)'!$A$3:$A$217,0),"yes","x"),"no")</f>
        <v>yes</v>
      </c>
      <c r="B225" s="1197">
        <v>3</v>
      </c>
      <c r="C225" s="9" t="s">
        <v>500</v>
      </c>
      <c r="D225" s="924" t="s">
        <v>500</v>
      </c>
      <c r="E225" s="41" t="s">
        <v>696</v>
      </c>
      <c r="F225" s="9" t="s">
        <v>1038</v>
      </c>
      <c r="G225" s="56">
        <v>0.25</v>
      </c>
      <c r="H225" s="58"/>
      <c r="I225" s="57">
        <v>2025</v>
      </c>
      <c r="J225" s="635" t="s">
        <v>1405</v>
      </c>
      <c r="K225" s="628">
        <v>0.25</v>
      </c>
      <c r="L225" s="791" t="s">
        <v>1636</v>
      </c>
    </row>
    <row r="226" spans="1:14" hidden="1" outlineLevel="1" x14ac:dyDescent="0.25">
      <c r="A226" s="534" t="str">
        <f>IFERROR(IF(MATCH($B$223&amp;"-"&amp;$B226,'Protocol reference (numerical)'!$A$3:$A$217,0),"yes","x"),"no")</f>
        <v>yes</v>
      </c>
      <c r="B226" s="1197" t="s">
        <v>351</v>
      </c>
      <c r="C226" s="9" t="s">
        <v>501</v>
      </c>
      <c r="D226" s="924" t="s">
        <v>502</v>
      </c>
      <c r="E226" s="41" t="s">
        <v>696</v>
      </c>
      <c r="F226" s="9" t="s">
        <v>1637</v>
      </c>
      <c r="G226" s="56" t="s">
        <v>2503</v>
      </c>
      <c r="H226" s="58">
        <v>2015</v>
      </c>
      <c r="I226" s="57">
        <v>2019</v>
      </c>
      <c r="J226" s="635" t="s">
        <v>1408</v>
      </c>
      <c r="K226" s="626"/>
      <c r="L226" s="791" t="s">
        <v>1640</v>
      </c>
    </row>
    <row r="227" spans="1:14" s="534" customFormat="1" hidden="1" outlineLevel="1" x14ac:dyDescent="0.25">
      <c r="A227" s="534" t="str">
        <f>IFERROR(IF(MATCH($B$223&amp;"-"&amp;$B227,'Protocol reference (numerical)'!$A$3:$A$217,0),"yes","x"),"no")</f>
        <v>yes</v>
      </c>
      <c r="B227" s="1197" t="s">
        <v>355</v>
      </c>
      <c r="C227" s="9"/>
      <c r="D227" s="924" t="s">
        <v>502</v>
      </c>
      <c r="E227" s="41" t="s">
        <v>696</v>
      </c>
      <c r="F227" s="9" t="s">
        <v>1637</v>
      </c>
      <c r="G227" s="56" t="s">
        <v>2504</v>
      </c>
      <c r="H227" s="58">
        <v>2015</v>
      </c>
      <c r="I227" s="57">
        <v>2019</v>
      </c>
      <c r="J227" s="635"/>
      <c r="K227" s="626"/>
      <c r="L227" s="791"/>
      <c r="M227" s="791"/>
      <c r="N227" s="669"/>
    </row>
    <row r="228" spans="1:14" s="534" customFormat="1" hidden="1" outlineLevel="1" x14ac:dyDescent="0.25">
      <c r="A228" s="534" t="str">
        <f>IFERROR(IF(MATCH($B$223&amp;"-"&amp;$B228,'Protocol reference (numerical)'!$A$3:$A$217,0),"yes","x"),"no")</f>
        <v>yes</v>
      </c>
      <c r="B228" s="1197" t="s">
        <v>547</v>
      </c>
      <c r="C228" s="9"/>
      <c r="D228" s="924" t="s">
        <v>502</v>
      </c>
      <c r="E228" s="41" t="s">
        <v>696</v>
      </c>
      <c r="F228" s="9" t="s">
        <v>1637</v>
      </c>
      <c r="G228" s="56" t="s">
        <v>2505</v>
      </c>
      <c r="H228" s="58">
        <v>2015</v>
      </c>
      <c r="I228" s="57">
        <v>2019</v>
      </c>
      <c r="J228" s="635"/>
      <c r="K228" s="626"/>
      <c r="L228" s="791"/>
      <c r="M228" s="791"/>
      <c r="N228" s="669"/>
    </row>
    <row r="229" spans="1:14" ht="30" hidden="1" outlineLevel="1" x14ac:dyDescent="0.25">
      <c r="A229" s="534" t="str">
        <f>IFERROR(IF(MATCH($B$223&amp;"-"&amp;$B229,'Protocol reference (numerical)'!$A$3:$A$217,0),"yes","x"),"no")</f>
        <v>no</v>
      </c>
      <c r="B229" s="1197" t="s">
        <v>9</v>
      </c>
      <c r="C229" s="9" t="s">
        <v>504</v>
      </c>
      <c r="D229" s="924" t="s">
        <v>505</v>
      </c>
      <c r="E229" s="41" t="s">
        <v>696</v>
      </c>
      <c r="F229" s="9" t="s">
        <v>506</v>
      </c>
      <c r="G229" s="58" t="s">
        <v>507</v>
      </c>
      <c r="H229" s="58">
        <v>2012</v>
      </c>
      <c r="I229" s="57"/>
      <c r="J229" s="635" t="s">
        <v>1416</v>
      </c>
      <c r="K229" s="626"/>
      <c r="L229" s="673" t="s">
        <v>1040</v>
      </c>
    </row>
    <row r="230" spans="1:14" hidden="1" outlineLevel="1" x14ac:dyDescent="0.25">
      <c r="A230" s="534" t="str">
        <f>IFERROR(IF(MATCH($B$223&amp;"-"&amp;$B230,'Protocol reference (numerical)'!$A$3:$A$217,0),"yes","x"),"no")</f>
        <v>no</v>
      </c>
      <c r="B230" s="1197" t="s">
        <v>939</v>
      </c>
      <c r="C230" s="9" t="s">
        <v>509</v>
      </c>
      <c r="D230" s="924" t="s">
        <v>510</v>
      </c>
      <c r="E230" s="41" t="s">
        <v>696</v>
      </c>
      <c r="F230" s="9" t="s">
        <v>506</v>
      </c>
      <c r="G230" s="58" t="s">
        <v>507</v>
      </c>
      <c r="H230" s="58">
        <v>2012</v>
      </c>
      <c r="I230" s="57"/>
      <c r="J230" s="635" t="s">
        <v>1416</v>
      </c>
      <c r="K230" s="626"/>
      <c r="L230" s="673" t="s">
        <v>1041</v>
      </c>
    </row>
    <row r="231" spans="1:14" s="534" customFormat="1" hidden="1" outlineLevel="1" x14ac:dyDescent="0.25">
      <c r="B231" s="1213">
        <v>6</v>
      </c>
      <c r="C231" s="535" t="s">
        <v>2506</v>
      </c>
      <c r="D231" s="228"/>
      <c r="E231" s="544" t="s">
        <v>696</v>
      </c>
      <c r="F231" s="535"/>
      <c r="G231" s="915">
        <v>0.22500000000000001</v>
      </c>
      <c r="H231" s="226"/>
      <c r="I231" s="557">
        <v>2025</v>
      </c>
      <c r="J231" s="635"/>
      <c r="K231" s="626"/>
      <c r="L231" s="673"/>
      <c r="M231" s="791"/>
      <c r="N231" s="669"/>
    </row>
    <row r="232" spans="1:14" hidden="1" outlineLevel="1" x14ac:dyDescent="0.25">
      <c r="A232" s="534" t="str">
        <f>IFERROR(IF(MATCH($B$223&amp;"-"&amp;$B232,'Protocol reference (numerical)'!$A$3:$A$217,0),"yes","x"),"no")</f>
        <v>yes</v>
      </c>
      <c r="B232" s="1197" t="s">
        <v>33</v>
      </c>
      <c r="C232" s="9" t="s">
        <v>512</v>
      </c>
      <c r="D232" s="924" t="s">
        <v>513</v>
      </c>
      <c r="E232" s="41" t="s">
        <v>696</v>
      </c>
      <c r="F232" s="9" t="s">
        <v>514</v>
      </c>
      <c r="G232" s="56">
        <v>0.2</v>
      </c>
      <c r="H232" s="58"/>
      <c r="I232" s="57">
        <v>2025</v>
      </c>
      <c r="J232" s="635" t="s">
        <v>1464</v>
      </c>
      <c r="K232" s="626"/>
    </row>
    <row r="233" spans="1:14" hidden="1" outlineLevel="1" x14ac:dyDescent="0.25">
      <c r="A233" s="534" t="str">
        <f>IFERROR(IF(MATCH($B$223&amp;"-"&amp;$B233,'Protocol reference (numerical)'!$A$3:$A$217,0),"yes","x"),"no")</f>
        <v>yes</v>
      </c>
      <c r="B233" s="1197" t="s">
        <v>561</v>
      </c>
      <c r="C233" s="109" t="s">
        <v>516</v>
      </c>
      <c r="D233" s="924" t="s">
        <v>513</v>
      </c>
      <c r="E233" s="94" t="s">
        <v>696</v>
      </c>
      <c r="F233" s="9" t="s">
        <v>517</v>
      </c>
      <c r="G233" s="271">
        <v>0.25</v>
      </c>
      <c r="H233" s="58"/>
      <c r="I233" s="57">
        <v>2025</v>
      </c>
      <c r="J233" s="637" t="s">
        <v>1464</v>
      </c>
      <c r="K233" s="626"/>
    </row>
    <row r="234" spans="1:14" hidden="1" outlineLevel="1" x14ac:dyDescent="0.25">
      <c r="A234" s="534" t="str">
        <f>IFERROR(IF(MATCH($B$223&amp;"-"&amp;$B234,'Protocol reference (numerical)'!$A$3:$A$217,0),"yes","x"),"no")</f>
        <v>no</v>
      </c>
      <c r="B234" s="1197">
        <v>7</v>
      </c>
      <c r="C234" s="109" t="s">
        <v>414</v>
      </c>
      <c r="D234" s="924" t="s">
        <v>1042</v>
      </c>
      <c r="E234" s="94" t="s">
        <v>696</v>
      </c>
      <c r="F234" s="9" t="s">
        <v>363</v>
      </c>
      <c r="G234" s="58"/>
      <c r="H234" s="58"/>
      <c r="I234" s="57"/>
      <c r="J234" s="637" t="s">
        <v>1420</v>
      </c>
      <c r="K234" s="626"/>
    </row>
    <row r="235" spans="1:14" ht="30" hidden="1" outlineLevel="1" x14ac:dyDescent="0.25">
      <c r="A235" s="534" t="str">
        <f>IFERROR(IF(MATCH($B$223&amp;"-"&amp;$B235,'Protocol reference (numerical)'!$A$3:$A$217,0),"yes","x"),"no")</f>
        <v>yes</v>
      </c>
      <c r="B235" s="1206">
        <v>1</v>
      </c>
      <c r="C235" s="234" t="s">
        <v>1632</v>
      </c>
      <c r="D235" s="232" t="s">
        <v>1043</v>
      </c>
      <c r="E235" s="267" t="s">
        <v>696</v>
      </c>
      <c r="F235" s="234" t="s">
        <v>1633</v>
      </c>
      <c r="G235" s="331" t="s">
        <v>1894</v>
      </c>
      <c r="H235" s="331">
        <v>2015</v>
      </c>
      <c r="I235" s="72">
        <v>2020</v>
      </c>
      <c r="J235" s="635" t="s">
        <v>1417</v>
      </c>
      <c r="K235" s="649" t="s">
        <v>1638</v>
      </c>
    </row>
    <row r="236" spans="1:14" hidden="1" outlineLevel="1" x14ac:dyDescent="0.25">
      <c r="A236" s="534" t="str">
        <f>IFERROR(IF(MATCH($B$223&amp;"-"&amp;$B236,'Protocol reference (numerical)'!$A$3:$A$217,0),"yes","x"),"no")</f>
        <v>no</v>
      </c>
      <c r="B236" s="1222">
        <v>8</v>
      </c>
      <c r="C236" s="265" t="s">
        <v>1635</v>
      </c>
      <c r="D236" s="925" t="s">
        <v>1634</v>
      </c>
      <c r="E236" s="266" t="s">
        <v>696</v>
      </c>
      <c r="F236" s="265"/>
      <c r="G236" s="886"/>
      <c r="H236" s="886"/>
      <c r="I236" s="887"/>
      <c r="J236" s="635" t="s">
        <v>1416</v>
      </c>
      <c r="K236" s="626"/>
    </row>
    <row r="237" spans="1:14" hidden="1" outlineLevel="1" x14ac:dyDescent="0.25">
      <c r="A237" s="534" t="str">
        <f>IFERROR(IF(MATCH($B$223&amp;"-"&amp;$B237,'Protocol reference (numerical)'!$A$3:$A$217,0),"yes","x"),"no")</f>
        <v>yes</v>
      </c>
      <c r="B237" s="1207" t="s">
        <v>709</v>
      </c>
      <c r="C237" s="164" t="s">
        <v>498</v>
      </c>
      <c r="D237" s="926" t="s">
        <v>499</v>
      </c>
      <c r="E237" s="268" t="s">
        <v>696</v>
      </c>
      <c r="F237" s="164" t="s">
        <v>1037</v>
      </c>
      <c r="G237" s="905">
        <v>0</v>
      </c>
      <c r="H237" s="165"/>
      <c r="I237" s="166">
        <v>2025</v>
      </c>
      <c r="J237" s="635" t="s">
        <v>1485</v>
      </c>
      <c r="K237" s="626"/>
    </row>
    <row r="238" spans="1:14" hidden="1" outlineLevel="1" x14ac:dyDescent="0.25">
      <c r="A238" s="534" t="str">
        <f>IFERROR(IF(MATCH($B$223&amp;"-"&amp;$B238,'Protocol reference (numerical)'!$A$3:$A$217,0),"yes","x"),"no")</f>
        <v>yes</v>
      </c>
      <c r="B238" s="1207" t="s">
        <v>355</v>
      </c>
      <c r="C238" s="164" t="s">
        <v>501</v>
      </c>
      <c r="D238" s="926" t="s">
        <v>502</v>
      </c>
      <c r="E238" s="268" t="s">
        <v>696</v>
      </c>
      <c r="F238" s="164" t="s">
        <v>1039</v>
      </c>
      <c r="G238" s="906">
        <v>0.997</v>
      </c>
      <c r="H238" s="165"/>
      <c r="I238" s="166">
        <v>2025</v>
      </c>
      <c r="J238" s="635" t="s">
        <v>1485</v>
      </c>
      <c r="K238" s="626"/>
    </row>
    <row r="239" spans="1:14" hidden="1" outlineLevel="1" x14ac:dyDescent="0.25">
      <c r="A239" s="534" t="str">
        <f>IFERROR(IF(MATCH($B$223&amp;"-"&amp;$B239,'Protocol reference (numerical)'!$A$3:$A$217,0),"yes","x"),"no")</f>
        <v>no</v>
      </c>
      <c r="B239" s="1205" t="s">
        <v>34</v>
      </c>
      <c r="C239" s="46" t="s">
        <v>498</v>
      </c>
      <c r="D239" s="927" t="s">
        <v>499</v>
      </c>
      <c r="E239" s="47" t="s">
        <v>784</v>
      </c>
      <c r="F239" s="46" t="s">
        <v>1036</v>
      </c>
      <c r="G239" s="51">
        <v>0.19</v>
      </c>
      <c r="H239" s="52"/>
      <c r="I239" s="53">
        <v>2025</v>
      </c>
      <c r="J239" s="635" t="s">
        <v>784</v>
      </c>
      <c r="K239" s="628">
        <v>0.19</v>
      </c>
    </row>
    <row r="240" spans="1:14" hidden="1" outlineLevel="1" x14ac:dyDescent="0.25">
      <c r="A240" s="534" t="str">
        <f>IFERROR(IF(MATCH($B$223&amp;"-"&amp;$B240,'Protocol reference (numerical)'!$A$3:$A$217,0),"yes","x"),"no")</f>
        <v>yes</v>
      </c>
      <c r="B240" s="1223" t="s">
        <v>708</v>
      </c>
      <c r="C240" s="178" t="s">
        <v>498</v>
      </c>
      <c r="D240" s="928" t="s">
        <v>499</v>
      </c>
      <c r="E240" s="134" t="s">
        <v>784</v>
      </c>
      <c r="F240" s="178" t="s">
        <v>1036</v>
      </c>
      <c r="G240" s="900">
        <v>0.23</v>
      </c>
      <c r="H240" s="888"/>
      <c r="I240" s="889">
        <v>2025</v>
      </c>
      <c r="J240" s="636" t="s">
        <v>784</v>
      </c>
      <c r="K240" s="845">
        <v>0.23</v>
      </c>
    </row>
    <row r="241" spans="1:13" collapsed="1" x14ac:dyDescent="0.25">
      <c r="B241" s="7"/>
      <c r="C241" s="7"/>
      <c r="D241" s="44"/>
      <c r="E241" s="44"/>
      <c r="F241" s="44"/>
      <c r="G241" s="838"/>
      <c r="H241" s="870"/>
      <c r="I241" s="870"/>
      <c r="J241" s="44"/>
      <c r="K241" s="838"/>
    </row>
    <row r="242" spans="1:13" ht="23.25" x14ac:dyDescent="0.35">
      <c r="B242" s="463" t="s">
        <v>14</v>
      </c>
      <c r="C242" s="461" t="s">
        <v>334</v>
      </c>
      <c r="D242" s="461" t="s">
        <v>335</v>
      </c>
      <c r="E242" s="464" t="s">
        <v>336</v>
      </c>
      <c r="F242" s="461" t="s">
        <v>1419</v>
      </c>
      <c r="G242" s="858" t="s">
        <v>337</v>
      </c>
      <c r="H242" s="858" t="s">
        <v>2</v>
      </c>
      <c r="I242" s="833" t="s">
        <v>338</v>
      </c>
      <c r="J242" s="462" t="s">
        <v>1418</v>
      </c>
      <c r="K242" s="833" t="s">
        <v>2201</v>
      </c>
      <c r="L242" s="798" t="s">
        <v>690</v>
      </c>
    </row>
    <row r="243" spans="1:13" hidden="1" outlineLevel="1" x14ac:dyDescent="0.25">
      <c r="A243" s="534" t="str">
        <f>IFERROR(IF(MATCH($B$242&amp;"-"&amp;$B243,'Protocol reference (numerical)'!$A$3:$A$217,0),"yes","x"),"no")</f>
        <v>no</v>
      </c>
      <c r="B243" s="1167">
        <v>0</v>
      </c>
      <c r="C243" s="465" t="s">
        <v>1813</v>
      </c>
      <c r="D243" s="466" t="s">
        <v>2513</v>
      </c>
      <c r="E243" s="515" t="s">
        <v>784</v>
      </c>
      <c r="F243" s="467" t="s">
        <v>339</v>
      </c>
      <c r="G243" s="901">
        <v>0.26</v>
      </c>
      <c r="H243" s="522">
        <v>2013</v>
      </c>
      <c r="I243" s="871">
        <v>2030</v>
      </c>
      <c r="J243" s="605" t="s">
        <v>1467</v>
      </c>
      <c r="K243" s="663">
        <v>0.26</v>
      </c>
    </row>
    <row r="244" spans="1:13" ht="30" hidden="1" outlineLevel="1" x14ac:dyDescent="0.25">
      <c r="A244" s="534" t="str">
        <f>IFERROR(IF(MATCH($B$242&amp;"-"&amp;$B244,'Protocol reference (numerical)'!$A$3:$A$217,0),"yes","x"),"no")</f>
        <v>yes</v>
      </c>
      <c r="B244" s="1173" t="s">
        <v>3</v>
      </c>
      <c r="C244" s="470" t="s">
        <v>1044</v>
      </c>
      <c r="D244" s="471" t="s">
        <v>1045</v>
      </c>
      <c r="E244" s="472" t="s">
        <v>696</v>
      </c>
      <c r="F244" s="472" t="s">
        <v>1688</v>
      </c>
      <c r="G244" s="52" t="s">
        <v>1046</v>
      </c>
      <c r="H244" s="872"/>
      <c r="I244" s="873"/>
      <c r="J244" s="452" t="s">
        <v>1416</v>
      </c>
      <c r="K244" s="626"/>
      <c r="L244" s="791" t="s">
        <v>1047</v>
      </c>
    </row>
    <row r="245" spans="1:13" ht="30" hidden="1" outlineLevel="1" x14ac:dyDescent="0.25">
      <c r="A245" s="534" t="str">
        <f>IFERROR(IF(MATCH($B$242&amp;"-"&amp;$B245,'Protocol reference (numerical)'!$A$3:$A$217,0),"yes","x"),"no")</f>
        <v>no</v>
      </c>
      <c r="B245" s="422" t="s">
        <v>700</v>
      </c>
      <c r="C245" s="460" t="s">
        <v>1044</v>
      </c>
      <c r="D245" s="468" t="s">
        <v>1045</v>
      </c>
      <c r="E245" s="469" t="s">
        <v>696</v>
      </c>
      <c r="F245" s="469" t="s">
        <v>1689</v>
      </c>
      <c r="G245" s="226" t="s">
        <v>1048</v>
      </c>
      <c r="H245" s="523"/>
      <c r="I245" s="527"/>
      <c r="J245" s="452" t="s">
        <v>1416</v>
      </c>
      <c r="K245" s="626"/>
    </row>
    <row r="246" spans="1:13" ht="45" hidden="1" outlineLevel="1" x14ac:dyDescent="0.25">
      <c r="A246" s="534" t="str">
        <f>IFERROR(IF(MATCH($B$242&amp;"-"&amp;$B246,'Protocol reference (numerical)'!$A$3:$A$217,0),"yes","x"),"no")</f>
        <v>yes</v>
      </c>
      <c r="B246" s="422">
        <v>2</v>
      </c>
      <c r="C246" s="460" t="s">
        <v>1049</v>
      </c>
      <c r="D246" s="468" t="s">
        <v>1050</v>
      </c>
      <c r="E246" s="469" t="s">
        <v>696</v>
      </c>
      <c r="F246" s="469" t="s">
        <v>1051</v>
      </c>
      <c r="G246" s="226" t="s">
        <v>1690</v>
      </c>
      <c r="H246" s="523">
        <v>2015</v>
      </c>
      <c r="I246" s="527">
        <v>2020</v>
      </c>
      <c r="J246" s="452" t="s">
        <v>1412</v>
      </c>
      <c r="K246" s="626" t="s">
        <v>1691</v>
      </c>
    </row>
    <row r="247" spans="1:13" ht="85.5" hidden="1" outlineLevel="1" x14ac:dyDescent="0.25">
      <c r="A247" s="534" t="str">
        <f>IFERROR(IF(MATCH($B$242&amp;"-"&amp;$B247,'Protocol reference (numerical)'!$A$3:$A$217,0),"yes","x"),"no")</f>
        <v>no</v>
      </c>
      <c r="B247" s="422" t="s">
        <v>5</v>
      </c>
      <c r="C247" s="460" t="s">
        <v>1052</v>
      </c>
      <c r="D247" s="468" t="s">
        <v>1053</v>
      </c>
      <c r="E247" s="469" t="s">
        <v>696</v>
      </c>
      <c r="F247" s="469" t="s">
        <v>1054</v>
      </c>
      <c r="G247" s="907" t="s">
        <v>1055</v>
      </c>
      <c r="H247" s="523"/>
      <c r="I247" s="527"/>
      <c r="J247" s="452" t="s">
        <v>1416</v>
      </c>
      <c r="K247" s="626"/>
    </row>
    <row r="248" spans="1:13" ht="57.75" hidden="1" outlineLevel="1" x14ac:dyDescent="0.25">
      <c r="A248" s="534" t="str">
        <f>IFERROR(IF(MATCH($B$242&amp;"-"&amp;$B248,'Protocol reference (numerical)'!$A$3:$A$217,0),"yes","x"),"no")</f>
        <v>no</v>
      </c>
      <c r="B248" s="422" t="s">
        <v>813</v>
      </c>
      <c r="C248" s="460" t="s">
        <v>1052</v>
      </c>
      <c r="D248" s="468" t="s">
        <v>1053</v>
      </c>
      <c r="E248" s="469" t="s">
        <v>696</v>
      </c>
      <c r="F248" s="469" t="s">
        <v>1056</v>
      </c>
      <c r="G248" s="813" t="s">
        <v>1057</v>
      </c>
      <c r="H248" s="523"/>
      <c r="I248" s="527"/>
      <c r="J248" s="452" t="s">
        <v>1416</v>
      </c>
      <c r="K248" s="626"/>
    </row>
    <row r="249" spans="1:13" ht="30" hidden="1" outlineLevel="1" x14ac:dyDescent="0.25">
      <c r="A249" s="534" t="str">
        <f>IFERROR(IF(MATCH($B$242&amp;"-"&amp;$B249,'Protocol reference (numerical)'!$A$3:$A$217,0),"yes","x"),"no")</f>
        <v>yes</v>
      </c>
      <c r="B249" s="422" t="s">
        <v>351</v>
      </c>
      <c r="C249" s="460" t="s">
        <v>1058</v>
      </c>
      <c r="D249" s="468" t="s">
        <v>1059</v>
      </c>
      <c r="E249" s="469" t="s">
        <v>696</v>
      </c>
      <c r="F249" s="469" t="s">
        <v>1060</v>
      </c>
      <c r="G249" s="226" t="s">
        <v>1061</v>
      </c>
      <c r="H249" s="523"/>
      <c r="I249" s="527"/>
      <c r="J249" s="452" t="s">
        <v>1416</v>
      </c>
      <c r="K249" s="626"/>
    </row>
    <row r="250" spans="1:13" ht="30" hidden="1" outlineLevel="1" x14ac:dyDescent="0.25">
      <c r="A250" s="534" t="str">
        <f>IFERROR(IF(MATCH($B$242&amp;"-"&amp;$B250,'Protocol reference (numerical)'!$A$3:$A$217,0),"yes","x"),"no")</f>
        <v>no</v>
      </c>
      <c r="B250" s="422" t="s">
        <v>355</v>
      </c>
      <c r="C250" s="460" t="s">
        <v>1062</v>
      </c>
      <c r="D250" s="468" t="s">
        <v>1059</v>
      </c>
      <c r="E250" s="469" t="s">
        <v>696</v>
      </c>
      <c r="F250" s="469" t="s">
        <v>1063</v>
      </c>
      <c r="G250" s="226" t="s">
        <v>1064</v>
      </c>
      <c r="H250" s="523"/>
      <c r="I250" s="527"/>
      <c r="J250" s="452" t="s">
        <v>1416</v>
      </c>
      <c r="K250" s="626"/>
    </row>
    <row r="251" spans="1:13" ht="30" hidden="1" outlineLevel="1" x14ac:dyDescent="0.25">
      <c r="A251" s="534" t="str">
        <f>IFERROR(IF(MATCH($B$242&amp;"-"&amp;$B251,'Protocol reference (numerical)'!$A$3:$A$217,0),"yes","x"),"no")</f>
        <v>yes</v>
      </c>
      <c r="B251" s="422" t="s">
        <v>547</v>
      </c>
      <c r="C251" s="460" t="s">
        <v>1065</v>
      </c>
      <c r="D251" s="468" t="s">
        <v>1059</v>
      </c>
      <c r="E251" s="469" t="s">
        <v>696</v>
      </c>
      <c r="F251" s="469" t="s">
        <v>1066</v>
      </c>
      <c r="G251" s="226" t="s">
        <v>1067</v>
      </c>
      <c r="H251" s="523"/>
      <c r="I251" s="527"/>
      <c r="J251" s="452" t="s">
        <v>1416</v>
      </c>
      <c r="K251" s="626"/>
    </row>
    <row r="252" spans="1:13" ht="75" hidden="1" outlineLevel="1" x14ac:dyDescent="0.25">
      <c r="A252" s="534" t="str">
        <f>IFERROR(IF(MATCH($B$242&amp;"-"&amp;$B252,'Protocol reference (numerical)'!$A$3:$A$217,0),"yes","x"),"no")</f>
        <v>yes</v>
      </c>
      <c r="B252" s="422" t="s">
        <v>33</v>
      </c>
      <c r="C252" s="460" t="s">
        <v>1068</v>
      </c>
      <c r="D252" s="468" t="s">
        <v>1069</v>
      </c>
      <c r="E252" s="469" t="s">
        <v>696</v>
      </c>
      <c r="F252" s="469" t="s">
        <v>1070</v>
      </c>
      <c r="G252" s="226" t="s">
        <v>2123</v>
      </c>
      <c r="H252" s="523">
        <v>2014</v>
      </c>
      <c r="I252" s="527"/>
      <c r="J252" s="452" t="s">
        <v>1264</v>
      </c>
      <c r="K252" s="626" t="s">
        <v>1692</v>
      </c>
      <c r="L252" s="791" t="s">
        <v>2245</v>
      </c>
    </row>
    <row r="253" spans="1:13" ht="30" hidden="1" outlineLevel="1" x14ac:dyDescent="0.25">
      <c r="A253" s="534" t="str">
        <f>IFERROR(IF(MATCH($B$242&amp;"-"&amp;$B253,'Protocol reference (numerical)'!$A$3:$A$217,0),"yes","x"),"no")</f>
        <v>no</v>
      </c>
      <c r="B253" s="422" t="s">
        <v>561</v>
      </c>
      <c r="C253" s="460" t="s">
        <v>1068</v>
      </c>
      <c r="D253" s="468" t="s">
        <v>1069</v>
      </c>
      <c r="E253" s="469" t="s">
        <v>696</v>
      </c>
      <c r="F253" s="469" t="s">
        <v>1071</v>
      </c>
      <c r="G253" s="226" t="s">
        <v>1072</v>
      </c>
      <c r="H253" s="523"/>
      <c r="I253" s="527"/>
      <c r="J253" s="452" t="s">
        <v>1416</v>
      </c>
      <c r="K253" s="626"/>
    </row>
    <row r="254" spans="1:13" hidden="1" outlineLevel="1" x14ac:dyDescent="0.25">
      <c r="A254" s="534" t="str">
        <f>IFERROR(IF(MATCH($B$242&amp;"-"&amp;$B254,'Protocol reference (numerical)'!$A$3:$A$217,0),"yes","x"),"no")</f>
        <v>no</v>
      </c>
      <c r="B254" s="422" t="s">
        <v>503</v>
      </c>
      <c r="C254" s="460" t="s">
        <v>1073</v>
      </c>
      <c r="D254" s="468" t="s">
        <v>1074</v>
      </c>
      <c r="E254" s="469" t="s">
        <v>696</v>
      </c>
      <c r="F254" s="469" t="s">
        <v>1075</v>
      </c>
      <c r="G254" s="226" t="s">
        <v>1076</v>
      </c>
      <c r="H254" s="523"/>
      <c r="I254" s="527"/>
      <c r="J254" s="452" t="s">
        <v>1416</v>
      </c>
      <c r="K254" s="626"/>
      <c r="L254" s="791" t="s">
        <v>1077</v>
      </c>
    </row>
    <row r="255" spans="1:13" ht="30" hidden="1" outlineLevel="1" x14ac:dyDescent="0.25">
      <c r="A255" s="534" t="str">
        <f>IFERROR(IF(MATCH($B$242&amp;"-"&amp;$B255,'Protocol reference (numerical)'!$A$3:$A$217,0),"yes","x"),"no")</f>
        <v>no</v>
      </c>
      <c r="B255" s="422" t="s">
        <v>508</v>
      </c>
      <c r="C255" s="460" t="s">
        <v>1078</v>
      </c>
      <c r="D255" s="468" t="s">
        <v>1079</v>
      </c>
      <c r="E255" s="469" t="s">
        <v>696</v>
      </c>
      <c r="F255" s="469" t="s">
        <v>1080</v>
      </c>
      <c r="G255" s="226" t="s">
        <v>1081</v>
      </c>
      <c r="H255" s="523">
        <v>2011</v>
      </c>
      <c r="I255" s="527"/>
      <c r="J255" s="452" t="s">
        <v>1416</v>
      </c>
      <c r="K255" s="626"/>
      <c r="L255" s="803" t="s">
        <v>1082</v>
      </c>
      <c r="M255" s="803"/>
    </row>
    <row r="256" spans="1:13" hidden="1" outlineLevel="1" x14ac:dyDescent="0.25">
      <c r="A256" s="534" t="str">
        <f>IFERROR(IF(MATCH($B$242&amp;"-"&amp;$B256,'Protocol reference (numerical)'!$A$3:$A$217,0),"yes","x"),"no")</f>
        <v>no</v>
      </c>
      <c r="B256" s="422" t="s">
        <v>732</v>
      </c>
      <c r="C256" s="460" t="s">
        <v>1083</v>
      </c>
      <c r="D256" s="468" t="s">
        <v>1084</v>
      </c>
      <c r="E256" s="469" t="s">
        <v>696</v>
      </c>
      <c r="F256" s="469" t="s">
        <v>1080</v>
      </c>
      <c r="G256" s="226" t="s">
        <v>1085</v>
      </c>
      <c r="H256" s="523">
        <v>2011</v>
      </c>
      <c r="I256" s="527"/>
      <c r="J256" s="452" t="s">
        <v>1416</v>
      </c>
      <c r="K256" s="626"/>
    </row>
    <row r="257" spans="1:13" ht="30" hidden="1" outlineLevel="1" x14ac:dyDescent="0.25">
      <c r="A257" s="534" t="str">
        <f>IFERROR(IF(MATCH($B$242&amp;"-"&amp;$B257,'Protocol reference (numerical)'!$A$3:$A$217,0),"yes","x"),"no")</f>
        <v>no</v>
      </c>
      <c r="B257" s="422" t="s">
        <v>1086</v>
      </c>
      <c r="C257" s="460" t="s">
        <v>1087</v>
      </c>
      <c r="D257" s="468" t="s">
        <v>1088</v>
      </c>
      <c r="E257" s="469" t="s">
        <v>696</v>
      </c>
      <c r="F257" s="469" t="s">
        <v>1080</v>
      </c>
      <c r="G257" s="226" t="s">
        <v>1089</v>
      </c>
      <c r="H257" s="523">
        <v>2011</v>
      </c>
      <c r="I257" s="527"/>
      <c r="J257" s="452" t="s">
        <v>1416</v>
      </c>
      <c r="K257" s="626"/>
    </row>
    <row r="258" spans="1:13" ht="60" hidden="1" outlineLevel="1" x14ac:dyDescent="0.25">
      <c r="A258" s="534" t="str">
        <f>IFERROR(IF(MATCH($B$242&amp;"-"&amp;$B258,'Protocol reference (numerical)'!$A$3:$A$217,0),"yes","x"),"no")</f>
        <v>no</v>
      </c>
      <c r="B258" s="422" t="s">
        <v>1090</v>
      </c>
      <c r="C258" s="460" t="s">
        <v>1091</v>
      </c>
      <c r="D258" s="468" t="s">
        <v>1092</v>
      </c>
      <c r="E258" s="469" t="s">
        <v>696</v>
      </c>
      <c r="F258" s="469" t="s">
        <v>1080</v>
      </c>
      <c r="G258" s="226" t="s">
        <v>1093</v>
      </c>
      <c r="H258" s="523">
        <v>2011</v>
      </c>
      <c r="I258" s="527"/>
      <c r="J258" s="452" t="s">
        <v>1416</v>
      </c>
      <c r="K258" s="626"/>
    </row>
    <row r="259" spans="1:13" ht="30" hidden="1" outlineLevel="1" x14ac:dyDescent="0.25">
      <c r="A259" s="534" t="str">
        <f>IFERROR(IF(MATCH($B$242&amp;"-"&amp;$B259,'Protocol reference (numerical)'!$A$3:$A$217,0),"yes","x"),"no")</f>
        <v>no</v>
      </c>
      <c r="B259" s="422" t="s">
        <v>1094</v>
      </c>
      <c r="C259" s="460" t="s">
        <v>1095</v>
      </c>
      <c r="D259" s="468" t="s">
        <v>1096</v>
      </c>
      <c r="E259" s="469" t="s">
        <v>696</v>
      </c>
      <c r="F259" s="469" t="s">
        <v>1080</v>
      </c>
      <c r="G259" s="226" t="s">
        <v>1097</v>
      </c>
      <c r="H259" s="523">
        <v>2011</v>
      </c>
      <c r="I259" s="527"/>
      <c r="J259" s="452" t="s">
        <v>1416</v>
      </c>
      <c r="K259" s="626"/>
    </row>
    <row r="260" spans="1:13" ht="30" hidden="1" outlineLevel="1" x14ac:dyDescent="0.25">
      <c r="A260" s="534" t="str">
        <f>IFERROR(IF(MATCH($B$242&amp;"-"&amp;$B260,'Protocol reference (numerical)'!$A$3:$A$217,0),"yes","x"),"no")</f>
        <v>no</v>
      </c>
      <c r="B260" s="422" t="s">
        <v>1098</v>
      </c>
      <c r="C260" s="460" t="s">
        <v>1099</v>
      </c>
      <c r="D260" s="468" t="s">
        <v>1100</v>
      </c>
      <c r="E260" s="469" t="s">
        <v>696</v>
      </c>
      <c r="F260" s="469" t="s">
        <v>1080</v>
      </c>
      <c r="G260" s="226" t="s">
        <v>1101</v>
      </c>
      <c r="H260" s="523">
        <v>2011</v>
      </c>
      <c r="I260" s="527"/>
      <c r="J260" s="452" t="s">
        <v>1416</v>
      </c>
      <c r="K260" s="626"/>
    </row>
    <row r="261" spans="1:13" hidden="1" outlineLevel="1" x14ac:dyDescent="0.25">
      <c r="A261" s="534" t="str">
        <f>IFERROR(IF(MATCH($B$242&amp;"-"&amp;$B261,'Protocol reference (numerical)'!$A$3:$A$217,0),"yes","x"),"no")</f>
        <v>no</v>
      </c>
      <c r="B261" s="422" t="s">
        <v>1102</v>
      </c>
      <c r="C261" s="460" t="s">
        <v>1103</v>
      </c>
      <c r="D261" s="468" t="s">
        <v>1104</v>
      </c>
      <c r="E261" s="469" t="s">
        <v>696</v>
      </c>
      <c r="F261" s="469" t="s">
        <v>1080</v>
      </c>
      <c r="G261" s="226" t="s">
        <v>1105</v>
      </c>
      <c r="H261" s="523">
        <v>2011</v>
      </c>
      <c r="I261" s="527"/>
      <c r="J261" s="452" t="s">
        <v>1416</v>
      </c>
      <c r="K261" s="626"/>
    </row>
    <row r="262" spans="1:13" hidden="1" outlineLevel="1" x14ac:dyDescent="0.25">
      <c r="A262" s="534" t="str">
        <f>IFERROR(IF(MATCH($B$242&amp;"-"&amp;$B262,'Protocol reference (numerical)'!$A$3:$A$217,0),"yes","x"),"no")</f>
        <v>no</v>
      </c>
      <c r="B262" s="422" t="s">
        <v>1106</v>
      </c>
      <c r="C262" s="460" t="s">
        <v>1107</v>
      </c>
      <c r="D262" s="468" t="s">
        <v>1108</v>
      </c>
      <c r="E262" s="469" t="s">
        <v>696</v>
      </c>
      <c r="F262" s="469" t="s">
        <v>1080</v>
      </c>
      <c r="G262" s="226" t="s">
        <v>1109</v>
      </c>
      <c r="H262" s="523">
        <v>2011</v>
      </c>
      <c r="I262" s="527"/>
      <c r="J262" s="452" t="s">
        <v>1416</v>
      </c>
      <c r="K262" s="626"/>
    </row>
    <row r="263" spans="1:13" hidden="1" outlineLevel="1" x14ac:dyDescent="0.25">
      <c r="A263" s="534" t="str">
        <f>IFERROR(IF(MATCH($B$242&amp;"-"&amp;$B263,'Protocol reference (numerical)'!$A$3:$A$217,0),"yes","x"),"no")</f>
        <v>no</v>
      </c>
      <c r="B263" s="422" t="s">
        <v>1693</v>
      </c>
      <c r="C263" s="460" t="s">
        <v>718</v>
      </c>
      <c r="D263" s="468" t="s">
        <v>1108</v>
      </c>
      <c r="E263" s="469" t="s">
        <v>696</v>
      </c>
      <c r="F263" s="469" t="s">
        <v>1080</v>
      </c>
      <c r="G263" s="226" t="s">
        <v>1694</v>
      </c>
      <c r="H263" s="523" t="s">
        <v>1695</v>
      </c>
      <c r="I263" s="527"/>
      <c r="J263" s="452" t="s">
        <v>1416</v>
      </c>
      <c r="K263" s="626"/>
    </row>
    <row r="264" spans="1:13" hidden="1" outlineLevel="1" x14ac:dyDescent="0.25">
      <c r="A264" s="534" t="str">
        <f>IFERROR(IF(MATCH($B$242&amp;"-"&amp;$B264,'Protocol reference (numerical)'!$A$3:$A$217,0),"yes","x"),"no")</f>
        <v>no</v>
      </c>
      <c r="B264" s="422" t="s">
        <v>1110</v>
      </c>
      <c r="C264" s="460" t="s">
        <v>1111</v>
      </c>
      <c r="D264" s="468" t="s">
        <v>1112</v>
      </c>
      <c r="E264" s="469" t="s">
        <v>696</v>
      </c>
      <c r="F264" s="469" t="s">
        <v>1696</v>
      </c>
      <c r="G264" s="226" t="s">
        <v>1113</v>
      </c>
      <c r="H264" s="890">
        <v>2017</v>
      </c>
      <c r="I264" s="527"/>
      <c r="J264" s="452" t="s">
        <v>1416</v>
      </c>
      <c r="K264" s="626"/>
    </row>
    <row r="265" spans="1:13" ht="30" hidden="1" outlineLevel="1" x14ac:dyDescent="0.25">
      <c r="A265" s="534" t="str">
        <f>IFERROR(IF(MATCH($B$242&amp;"-"&amp;$B265,'Protocol reference (numerical)'!$A$3:$A$217,0),"yes","x"),"no")</f>
        <v>yes</v>
      </c>
      <c r="B265" s="422" t="s">
        <v>511</v>
      </c>
      <c r="C265" s="460" t="s">
        <v>1114</v>
      </c>
      <c r="D265" s="468" t="s">
        <v>1115</v>
      </c>
      <c r="E265" s="469" t="s">
        <v>696</v>
      </c>
      <c r="F265" s="469" t="s">
        <v>1116</v>
      </c>
      <c r="G265" s="226" t="s">
        <v>1117</v>
      </c>
      <c r="H265" s="862"/>
      <c r="I265" s="527"/>
      <c r="J265" s="452" t="s">
        <v>1416</v>
      </c>
      <c r="K265" s="626"/>
    </row>
    <row r="266" spans="1:13" hidden="1" outlineLevel="1" x14ac:dyDescent="0.25">
      <c r="A266" s="534" t="str">
        <f>IFERROR(IF(MATCH($B$242&amp;"-"&amp;$B266,'Protocol reference (numerical)'!$A$3:$A$217,0),"yes","x"),"no")</f>
        <v>yes</v>
      </c>
      <c r="B266" s="422" t="s">
        <v>515</v>
      </c>
      <c r="C266" s="460" t="s">
        <v>1118</v>
      </c>
      <c r="D266" s="468" t="s">
        <v>1119</v>
      </c>
      <c r="E266" s="469" t="s">
        <v>696</v>
      </c>
      <c r="F266" s="469" t="s">
        <v>1120</v>
      </c>
      <c r="G266" s="226" t="s">
        <v>1121</v>
      </c>
      <c r="H266" s="523"/>
      <c r="I266" s="527"/>
      <c r="J266" s="452" t="s">
        <v>1416</v>
      </c>
      <c r="K266" s="626"/>
    </row>
    <row r="267" spans="1:13" hidden="1" outlineLevel="1" x14ac:dyDescent="0.25">
      <c r="A267" s="534" t="str">
        <f>IFERROR(IF(MATCH($B$242&amp;"-"&amp;$B267,'Protocol reference (numerical)'!$A$3:$A$217,0),"yes","x"),"no")</f>
        <v>yes</v>
      </c>
      <c r="B267" s="422" t="s">
        <v>896</v>
      </c>
      <c r="C267" s="460" t="s">
        <v>1122</v>
      </c>
      <c r="D267" s="468" t="s">
        <v>1123</v>
      </c>
      <c r="E267" s="469" t="s">
        <v>696</v>
      </c>
      <c r="F267" s="469" t="s">
        <v>1124</v>
      </c>
      <c r="G267" s="226" t="s">
        <v>1125</v>
      </c>
      <c r="H267" s="523"/>
      <c r="I267" s="527"/>
      <c r="J267" s="452" t="s">
        <v>1416</v>
      </c>
      <c r="K267" s="626"/>
    </row>
    <row r="268" spans="1:13" hidden="1" outlineLevel="1" x14ac:dyDescent="0.25">
      <c r="A268" s="534" t="str">
        <f>IFERROR(IF(MATCH($B$242&amp;"-"&amp;$B268,'Protocol reference (numerical)'!$A$3:$A$217,0),"yes","x"),"no")</f>
        <v>yes</v>
      </c>
      <c r="B268" s="422" t="s">
        <v>898</v>
      </c>
      <c r="C268" s="460" t="s">
        <v>1126</v>
      </c>
      <c r="D268" s="468" t="s">
        <v>1127</v>
      </c>
      <c r="E268" s="469" t="s">
        <v>696</v>
      </c>
      <c r="F268" s="469" t="s">
        <v>1128</v>
      </c>
      <c r="G268" s="226" t="s">
        <v>1129</v>
      </c>
      <c r="H268" s="523"/>
      <c r="I268" s="527"/>
      <c r="J268" s="452" t="s">
        <v>1416</v>
      </c>
      <c r="K268" s="626"/>
    </row>
    <row r="269" spans="1:13" hidden="1" outlineLevel="1" x14ac:dyDescent="0.25">
      <c r="A269" s="534" t="str">
        <f>IFERROR(IF(MATCH($B$242&amp;"-"&amp;$B269,'Protocol reference (numerical)'!$A$3:$A$217,0),"yes","x"),"no")</f>
        <v>no</v>
      </c>
      <c r="B269" s="422" t="s">
        <v>1130</v>
      </c>
      <c r="C269" s="460" t="s">
        <v>1131</v>
      </c>
      <c r="D269" s="468" t="s">
        <v>1132</v>
      </c>
      <c r="E269" s="469" t="s">
        <v>696</v>
      </c>
      <c r="F269" s="469" t="s">
        <v>1133</v>
      </c>
      <c r="G269" s="226" t="s">
        <v>1134</v>
      </c>
      <c r="H269" s="523"/>
      <c r="I269" s="527"/>
      <c r="J269" s="452" t="s">
        <v>1416</v>
      </c>
      <c r="K269" s="626"/>
      <c r="L269" s="97" t="s">
        <v>1135</v>
      </c>
      <c r="M269" s="97"/>
    </row>
    <row r="270" spans="1:13" ht="45" hidden="1" outlineLevel="1" x14ac:dyDescent="0.25">
      <c r="A270" s="534" t="str">
        <f>IFERROR(IF(MATCH($B$242&amp;"-"&amp;$B270,'Protocol reference (numerical)'!$A$3:$A$217,0),"yes","x"),"no")</f>
        <v>yes</v>
      </c>
      <c r="B270" s="422">
        <v>9</v>
      </c>
      <c r="C270" s="460" t="s">
        <v>1136</v>
      </c>
      <c r="D270" s="468" t="s">
        <v>1137</v>
      </c>
      <c r="E270" s="469" t="s">
        <v>784</v>
      </c>
      <c r="F270" s="469" t="s">
        <v>1139</v>
      </c>
      <c r="G270" s="825" t="s">
        <v>1140</v>
      </c>
      <c r="H270" s="523">
        <v>2010</v>
      </c>
      <c r="I270" s="527">
        <v>2030</v>
      </c>
      <c r="J270" s="452"/>
      <c r="K270" s="626" t="s">
        <v>1697</v>
      </c>
      <c r="L270" s="791" t="s">
        <v>2246</v>
      </c>
      <c r="M270" s="803"/>
    </row>
    <row r="271" spans="1:13" ht="30" hidden="1" outlineLevel="1" x14ac:dyDescent="0.25">
      <c r="A271" s="534" t="str">
        <f>IFERROR(IF(MATCH($B$242&amp;"-"&amp;$B271,'Protocol reference (numerical)'!$A$3:$A$217,0),"yes","x"),"no")</f>
        <v>yes</v>
      </c>
      <c r="B271" s="422">
        <v>12</v>
      </c>
      <c r="C271" s="460" t="s">
        <v>1698</v>
      </c>
      <c r="D271" s="477" t="s">
        <v>1699</v>
      </c>
      <c r="E271" s="469" t="s">
        <v>1138</v>
      </c>
      <c r="F271" s="469" t="s">
        <v>1700</v>
      </c>
      <c r="G271" s="226" t="s">
        <v>1701</v>
      </c>
      <c r="H271" s="523" t="s">
        <v>374</v>
      </c>
      <c r="I271" s="527">
        <v>2020</v>
      </c>
      <c r="J271" s="452" t="s">
        <v>54</v>
      </c>
      <c r="K271" s="626" t="s">
        <v>1701</v>
      </c>
      <c r="L271" s="791" t="s">
        <v>1702</v>
      </c>
      <c r="M271" s="803"/>
    </row>
    <row r="272" spans="1:13" ht="45" hidden="1" outlineLevel="1" x14ac:dyDescent="0.25">
      <c r="A272" s="534" t="str">
        <f>IFERROR(IF(MATCH($B$242&amp;"-"&amp;$B272,'Protocol reference (numerical)'!$A$3:$A$217,0),"yes","x"),"no")</f>
        <v>yes</v>
      </c>
      <c r="B272" s="422">
        <v>13</v>
      </c>
      <c r="C272" s="479" t="s">
        <v>1350</v>
      </c>
      <c r="D272" s="480" t="s">
        <v>1703</v>
      </c>
      <c r="E272" s="469" t="s">
        <v>1138</v>
      </c>
      <c r="F272" s="469" t="s">
        <v>1704</v>
      </c>
      <c r="G272" s="908" t="s">
        <v>1705</v>
      </c>
      <c r="H272" s="523">
        <v>1999</v>
      </c>
      <c r="I272" s="527"/>
      <c r="J272" s="452" t="s">
        <v>1478</v>
      </c>
      <c r="K272" s="626" t="s">
        <v>1706</v>
      </c>
      <c r="L272" s="791" t="s">
        <v>1814</v>
      </c>
      <c r="M272" s="803"/>
    </row>
    <row r="273" spans="1:14" hidden="1" outlineLevel="1" x14ac:dyDescent="0.25">
      <c r="A273" s="534" t="str">
        <f>IFERROR(IF(MATCH($B$242&amp;"-"&amp;$B273,'Protocol reference (numerical)'!$A$3:$A$217,0),"yes","x"),"no")</f>
        <v>no</v>
      </c>
      <c r="B273" s="422" t="s">
        <v>904</v>
      </c>
      <c r="C273" s="460" t="s">
        <v>1141</v>
      </c>
      <c r="D273" s="471" t="s">
        <v>1142</v>
      </c>
      <c r="E273" s="469" t="s">
        <v>1138</v>
      </c>
      <c r="F273" s="400" t="s">
        <v>1143</v>
      </c>
      <c r="G273" s="329" t="s">
        <v>1144</v>
      </c>
      <c r="H273" s="412"/>
      <c r="I273" s="415">
        <v>2030</v>
      </c>
      <c r="J273" s="452"/>
      <c r="K273" s="626"/>
    </row>
    <row r="274" spans="1:14" hidden="1" outlineLevel="1" x14ac:dyDescent="0.25">
      <c r="A274" s="534" t="str">
        <f>IFERROR(IF(MATCH($B$242&amp;"-"&amp;$B274,'Protocol reference (numerical)'!$A$3:$A$217,0),"yes","x"),"no")</f>
        <v>yes</v>
      </c>
      <c r="B274" s="422" t="s">
        <v>906</v>
      </c>
      <c r="C274" s="460" t="s">
        <v>704</v>
      </c>
      <c r="D274" s="468" t="s">
        <v>1142</v>
      </c>
      <c r="E274" s="469" t="s">
        <v>1138</v>
      </c>
      <c r="F274" s="400" t="s">
        <v>1145</v>
      </c>
      <c r="G274" s="329" t="s">
        <v>1146</v>
      </c>
      <c r="H274" s="412"/>
      <c r="I274" s="415">
        <v>2030</v>
      </c>
      <c r="J274" s="452" t="s">
        <v>1405</v>
      </c>
      <c r="K274" s="626" t="s">
        <v>1707</v>
      </c>
      <c r="L274" s="791" t="s">
        <v>2247</v>
      </c>
    </row>
    <row r="275" spans="1:14" hidden="1" outlineLevel="1" x14ac:dyDescent="0.25">
      <c r="A275" s="534" t="str">
        <f>IFERROR(IF(MATCH($B$242&amp;"-"&amp;$B275,'Protocol reference (numerical)'!$A$3:$A$217,0),"yes","x"),"no")</f>
        <v>no</v>
      </c>
      <c r="B275" s="422" t="s">
        <v>1147</v>
      </c>
      <c r="C275" s="460" t="s">
        <v>1148</v>
      </c>
      <c r="D275" s="468" t="s">
        <v>1142</v>
      </c>
      <c r="E275" s="469" t="s">
        <v>1138</v>
      </c>
      <c r="F275" s="400" t="s">
        <v>1149</v>
      </c>
      <c r="G275" s="230">
        <v>0.26</v>
      </c>
      <c r="H275" s="412"/>
      <c r="I275" s="415">
        <v>2030</v>
      </c>
      <c r="J275" s="452"/>
      <c r="K275" s="626"/>
    </row>
    <row r="276" spans="1:14" s="281" customFormat="1" hidden="1" outlineLevel="1" x14ac:dyDescent="0.25">
      <c r="A276" s="534" t="str">
        <f>IFERROR(IF(MATCH($B$242&amp;"-"&amp;$B276,'Protocol reference (numerical)'!$A$3:$A$217,0),"yes","x"),"no")</f>
        <v>no</v>
      </c>
      <c r="B276" s="422" t="s">
        <v>1150</v>
      </c>
      <c r="C276" s="460" t="s">
        <v>1151</v>
      </c>
      <c r="D276" s="468" t="s">
        <v>1142</v>
      </c>
      <c r="E276" s="469" t="s">
        <v>1138</v>
      </c>
      <c r="F276" s="400" t="s">
        <v>1152</v>
      </c>
      <c r="G276" s="230">
        <v>0.27</v>
      </c>
      <c r="H276" s="412"/>
      <c r="I276" s="415">
        <v>2030</v>
      </c>
      <c r="J276" s="452"/>
      <c r="K276" s="626"/>
      <c r="L276" s="791"/>
      <c r="M276" s="791"/>
      <c r="N276" s="669"/>
    </row>
    <row r="277" spans="1:14" s="431" customFormat="1" hidden="1" outlineLevel="1" x14ac:dyDescent="0.25">
      <c r="A277" s="534" t="str">
        <f>IFERROR(IF(MATCH($B$242&amp;"-"&amp;$B277,'Protocol reference (numerical)'!$A$3:$A$217,0),"yes","x"),"no")</f>
        <v>no</v>
      </c>
      <c r="B277" s="422" t="s">
        <v>1153</v>
      </c>
      <c r="C277" s="535" t="s">
        <v>1154</v>
      </c>
      <c r="D277" s="543" t="s">
        <v>1142</v>
      </c>
      <c r="E277" s="544" t="s">
        <v>1138</v>
      </c>
      <c r="F277" s="400" t="s">
        <v>1155</v>
      </c>
      <c r="G277" s="230">
        <v>0.03</v>
      </c>
      <c r="H277" s="412"/>
      <c r="I277" s="415">
        <v>2030</v>
      </c>
      <c r="J277" s="452"/>
      <c r="K277" s="626"/>
      <c r="L277" s="791"/>
      <c r="M277" s="791"/>
      <c r="N277" s="669"/>
    </row>
    <row r="278" spans="1:14" s="431" customFormat="1" hidden="1" outlineLevel="1" x14ac:dyDescent="0.25">
      <c r="A278" s="534" t="str">
        <f>IFERROR(IF(MATCH($B$242&amp;"-"&amp;$B278,'Protocol reference (numerical)'!$A$3:$A$217,0),"yes","x"),"no")</f>
        <v>no</v>
      </c>
      <c r="B278" s="1170">
        <v>14</v>
      </c>
      <c r="C278" s="695" t="s">
        <v>1815</v>
      </c>
      <c r="D278" s="1162" t="s">
        <v>1816</v>
      </c>
      <c r="E278" s="1163" t="s">
        <v>1138</v>
      </c>
      <c r="F278" s="1163" t="s">
        <v>1817</v>
      </c>
      <c r="G278" s="1164"/>
      <c r="H278" s="1165">
        <v>2008</v>
      </c>
      <c r="I278" s="1166"/>
      <c r="J278" s="408" t="s">
        <v>1416</v>
      </c>
      <c r="K278" s="661"/>
      <c r="L278" s="791"/>
      <c r="M278" s="791"/>
      <c r="N278" s="669"/>
    </row>
    <row r="279" spans="1:14" ht="30" hidden="1" outlineLevel="1" x14ac:dyDescent="0.25">
      <c r="A279" s="534" t="str">
        <f>IFERROR(IF(MATCH($B$242&amp;"-"&amp;$B279,'Protocol reference (numerical)'!$A$3:$A$217,0),"yes","x"),"no")</f>
        <v>yes</v>
      </c>
      <c r="B279" s="1172">
        <v>5</v>
      </c>
      <c r="C279" s="473" t="s">
        <v>1156</v>
      </c>
      <c r="D279" s="474" t="s">
        <v>1157</v>
      </c>
      <c r="E279" s="475" t="s">
        <v>696</v>
      </c>
      <c r="F279" s="475" t="s">
        <v>1158</v>
      </c>
      <c r="G279" s="909" t="s">
        <v>1159</v>
      </c>
      <c r="H279" s="868">
        <v>1990</v>
      </c>
      <c r="I279" s="869">
        <v>2020</v>
      </c>
      <c r="J279" s="603" t="s">
        <v>1473</v>
      </c>
      <c r="K279" s="846">
        <v>3.5000000000000003E-2</v>
      </c>
      <c r="L279" s="791" t="s">
        <v>2248</v>
      </c>
    </row>
    <row r="280" spans="1:14" s="282" customFormat="1" collapsed="1" x14ac:dyDescent="0.25">
      <c r="A280" s="534"/>
      <c r="B280" s="276"/>
      <c r="C280" s="277"/>
      <c r="D280" s="278"/>
      <c r="E280" s="279"/>
      <c r="F280" s="279"/>
      <c r="G280" s="910"/>
      <c r="H280" s="891"/>
      <c r="I280" s="892"/>
      <c r="J280" s="283"/>
      <c r="K280" s="847"/>
      <c r="L280" s="791"/>
      <c r="M280" s="791"/>
      <c r="N280" s="791"/>
    </row>
    <row r="281" spans="1:14" ht="23.25" x14ac:dyDescent="0.35">
      <c r="B281" s="322" t="s">
        <v>10</v>
      </c>
      <c r="C281" s="238" t="s">
        <v>334</v>
      </c>
      <c r="D281" s="238" t="s">
        <v>335</v>
      </c>
      <c r="E281" s="239" t="s">
        <v>336</v>
      </c>
      <c r="F281" s="238" t="s">
        <v>1588</v>
      </c>
      <c r="G281" s="893" t="s">
        <v>337</v>
      </c>
      <c r="H281" s="893" t="s">
        <v>2</v>
      </c>
      <c r="I281" s="894" t="s">
        <v>338</v>
      </c>
      <c r="J281" s="29" t="s">
        <v>1418</v>
      </c>
      <c r="K281" s="833" t="s">
        <v>2201</v>
      </c>
      <c r="L281" s="798" t="s">
        <v>690</v>
      </c>
    </row>
    <row r="282" spans="1:14" s="534" customFormat="1" ht="30" hidden="1" outlineLevel="1" x14ac:dyDescent="0.25">
      <c r="A282" s="534" t="str">
        <f>IFERROR(IF(MATCH($B$281&amp;"-"&amp;$B282,'Protocol reference (numerical)'!$A$3:$A$217,0),"yes","x"),"no")</f>
        <v>no</v>
      </c>
      <c r="B282" s="1217">
        <v>0</v>
      </c>
      <c r="C282" s="580" t="s">
        <v>2514</v>
      </c>
      <c r="D282" s="929" t="s">
        <v>2530</v>
      </c>
      <c r="E282" s="581" t="s">
        <v>784</v>
      </c>
      <c r="F282" s="580" t="s">
        <v>1867</v>
      </c>
      <c r="G282" s="582" t="s">
        <v>373</v>
      </c>
      <c r="H282" s="582" t="s">
        <v>1868</v>
      </c>
      <c r="I282" s="583">
        <v>2030</v>
      </c>
      <c r="J282" s="638" t="s">
        <v>1466</v>
      </c>
      <c r="K282" s="638"/>
      <c r="L282" s="256"/>
      <c r="M282" s="256"/>
    </row>
    <row r="283" spans="1:14" ht="30" hidden="1" outlineLevel="1" x14ac:dyDescent="0.25">
      <c r="A283" s="534" t="str">
        <f>IFERROR(IF(MATCH($B$281&amp;"-"&amp;$B283,'Protocol reference (numerical)'!$A$3:$A$217,0),"yes","x"),"no")</f>
        <v>yes</v>
      </c>
      <c r="B283" s="1205" t="s">
        <v>700</v>
      </c>
      <c r="C283" s="237" t="s">
        <v>1589</v>
      </c>
      <c r="D283" s="930" t="s">
        <v>1590</v>
      </c>
      <c r="E283" s="240" t="s">
        <v>696</v>
      </c>
      <c r="F283" s="237" t="s">
        <v>1591</v>
      </c>
      <c r="G283" s="241" t="s">
        <v>1592</v>
      </c>
      <c r="H283" s="241" t="s">
        <v>1593</v>
      </c>
      <c r="I283" s="126">
        <v>2020</v>
      </c>
      <c r="J283" s="640" t="s">
        <v>1473</v>
      </c>
      <c r="K283" s="639">
        <v>0.26900000000000002</v>
      </c>
      <c r="L283" s="256" t="s">
        <v>2249</v>
      </c>
      <c r="M283" s="793" t="s">
        <v>1869</v>
      </c>
      <c r="N283" s="671"/>
    </row>
    <row r="284" spans="1:14" hidden="1" outlineLevel="1" x14ac:dyDescent="0.25">
      <c r="A284" s="534" t="str">
        <f>IFERROR(IF(MATCH($B$281&amp;"-"&amp;$B284,'Protocol reference (numerical)'!$A$3:$A$217,0),"yes","x"),"no")</f>
        <v>no</v>
      </c>
      <c r="B284" s="1205">
        <v>2</v>
      </c>
      <c r="C284" s="237" t="s">
        <v>375</v>
      </c>
      <c r="D284" s="930" t="s">
        <v>376</v>
      </c>
      <c r="E284" s="240" t="s">
        <v>696</v>
      </c>
      <c r="F284" s="237" t="s">
        <v>1160</v>
      </c>
      <c r="G284" s="241" t="s">
        <v>377</v>
      </c>
      <c r="H284" s="241"/>
      <c r="I284" s="125">
        <v>2017</v>
      </c>
      <c r="J284" s="640" t="s">
        <v>1420</v>
      </c>
      <c r="K284" s="640"/>
      <c r="L284" s="256" t="s">
        <v>1161</v>
      </c>
      <c r="M284" s="671" t="s">
        <v>1164</v>
      </c>
    </row>
    <row r="285" spans="1:14" hidden="1" outlineLevel="1" x14ac:dyDescent="0.25">
      <c r="A285" s="534" t="str">
        <f>IFERROR(IF(MATCH($B$281&amp;"-"&amp;$B285,'Protocol reference (numerical)'!$A$3:$A$217,0),"yes","x"),"no")</f>
        <v>no</v>
      </c>
      <c r="B285" s="1197"/>
      <c r="C285" s="237"/>
      <c r="D285" s="242"/>
      <c r="E285" s="240" t="s">
        <v>696</v>
      </c>
      <c r="F285" s="237" t="s">
        <v>1162</v>
      </c>
      <c r="G285" s="241">
        <v>0</v>
      </c>
      <c r="H285" s="241"/>
      <c r="I285" s="125">
        <v>2017</v>
      </c>
      <c r="J285" s="640"/>
      <c r="K285" s="640"/>
      <c r="L285" s="256" t="s">
        <v>1163</v>
      </c>
      <c r="M285" s="671" t="s">
        <v>1166</v>
      </c>
    </row>
    <row r="286" spans="1:14" ht="30" hidden="1" outlineLevel="1" x14ac:dyDescent="0.25">
      <c r="A286" s="534" t="str">
        <f>IFERROR(IF(MATCH($B$281&amp;"-"&amp;$B286,'Protocol reference (numerical)'!$A$3:$A$217,0),"yes","x"),"no")</f>
        <v>yes</v>
      </c>
      <c r="B286" s="1197" t="s">
        <v>5</v>
      </c>
      <c r="C286" s="243" t="s">
        <v>1594</v>
      </c>
      <c r="D286" s="931" t="s">
        <v>1165</v>
      </c>
      <c r="E286" s="244" t="s">
        <v>696</v>
      </c>
      <c r="F286" s="243" t="s">
        <v>341</v>
      </c>
      <c r="G286" s="245" t="s">
        <v>1595</v>
      </c>
      <c r="H286" s="246"/>
      <c r="I286" s="125">
        <v>2029</v>
      </c>
      <c r="J286" s="640" t="s">
        <v>1405</v>
      </c>
      <c r="K286" s="639">
        <v>9.7000000000000003E-2</v>
      </c>
      <c r="L286" s="256" t="s">
        <v>1625</v>
      </c>
      <c r="M286" s="256"/>
      <c r="N286" s="671"/>
    </row>
    <row r="287" spans="1:14" ht="30" hidden="1" outlineLevel="1" x14ac:dyDescent="0.25">
      <c r="A287" s="534" t="str">
        <f>IFERROR(IF(MATCH($B$281&amp;"-"&amp;$B287,'Protocol reference (numerical)'!$A$3:$A$217,0),"yes","x"),"no")</f>
        <v>no</v>
      </c>
      <c r="B287" s="1197" t="s">
        <v>813</v>
      </c>
      <c r="C287" s="243" t="s">
        <v>1596</v>
      </c>
      <c r="D287" s="931" t="s">
        <v>1165</v>
      </c>
      <c r="E287" s="244" t="s">
        <v>696</v>
      </c>
      <c r="F287" s="243" t="s">
        <v>1597</v>
      </c>
      <c r="G287" s="245" t="s">
        <v>1598</v>
      </c>
      <c r="H287" s="246"/>
      <c r="I287" s="125">
        <v>2029</v>
      </c>
      <c r="J287" s="641" t="s">
        <v>1408</v>
      </c>
      <c r="K287" s="641"/>
      <c r="L287" s="256"/>
      <c r="M287" s="256"/>
      <c r="N287" s="671"/>
    </row>
    <row r="288" spans="1:14" hidden="1" outlineLevel="1" x14ac:dyDescent="0.25">
      <c r="A288" s="534" t="str">
        <f>IFERROR(IF(MATCH($B$281&amp;"-"&amp;$B288,'Protocol reference (numerical)'!$A$3:$A$217,0),"yes","x"),"no")</f>
        <v>yes</v>
      </c>
      <c r="B288" s="1197" t="s">
        <v>867</v>
      </c>
      <c r="C288" s="243"/>
      <c r="D288" s="247"/>
      <c r="E288" s="244"/>
      <c r="F288" s="243" t="s">
        <v>1382</v>
      </c>
      <c r="G288" s="245" t="s">
        <v>1599</v>
      </c>
      <c r="H288" s="246"/>
      <c r="I288" s="125">
        <v>2029</v>
      </c>
      <c r="J288" s="641" t="s">
        <v>1408</v>
      </c>
      <c r="K288" s="641"/>
      <c r="L288" s="256"/>
      <c r="M288" s="256"/>
      <c r="N288" s="671"/>
    </row>
    <row r="289" spans="1:14" hidden="1" outlineLevel="1" x14ac:dyDescent="0.25">
      <c r="A289" s="534" t="str">
        <f>IFERROR(IF(MATCH($B$281&amp;"-"&amp;$B289,'Protocol reference (numerical)'!$A$3:$A$217,0),"yes","x"),"no")</f>
        <v>yes</v>
      </c>
      <c r="B289" s="1197" t="s">
        <v>871</v>
      </c>
      <c r="C289" s="243"/>
      <c r="D289" s="247"/>
      <c r="E289" s="244"/>
      <c r="F289" s="243" t="s">
        <v>1600</v>
      </c>
      <c r="G289" s="245" t="s">
        <v>1601</v>
      </c>
      <c r="H289" s="246"/>
      <c r="I289" s="125">
        <v>2029</v>
      </c>
      <c r="J289" s="641" t="s">
        <v>1408</v>
      </c>
      <c r="K289" s="641"/>
      <c r="L289" s="256"/>
      <c r="M289" s="256"/>
      <c r="N289" s="671"/>
    </row>
    <row r="290" spans="1:14" hidden="1" outlineLevel="1" x14ac:dyDescent="0.25">
      <c r="A290" s="534" t="str">
        <f>IFERROR(IF(MATCH($B$281&amp;"-"&amp;$B290,'Protocol reference (numerical)'!$A$3:$A$217,0),"yes","x"),"no")</f>
        <v>yes</v>
      </c>
      <c r="B290" s="1197" t="s">
        <v>983</v>
      </c>
      <c r="C290" s="243"/>
      <c r="D290" s="247"/>
      <c r="E290" s="244"/>
      <c r="F290" s="243" t="s">
        <v>1602</v>
      </c>
      <c r="G290" s="245" t="s">
        <v>1603</v>
      </c>
      <c r="H290" s="246"/>
      <c r="I290" s="125">
        <v>2029</v>
      </c>
      <c r="J290" s="641" t="s">
        <v>1408</v>
      </c>
      <c r="K290" s="641"/>
      <c r="L290" s="256"/>
      <c r="M290" s="256"/>
      <c r="N290" s="671"/>
    </row>
    <row r="291" spans="1:14" hidden="1" outlineLevel="1" x14ac:dyDescent="0.25">
      <c r="A291" s="534" t="str">
        <f>IFERROR(IF(MATCH($B$281&amp;"-"&amp;$B291,'Protocol reference (numerical)'!$A$3:$A$217,0),"yes","x"),"no")</f>
        <v>yes</v>
      </c>
      <c r="B291" s="1197" t="s">
        <v>986</v>
      </c>
      <c r="C291" s="243"/>
      <c r="D291" s="247"/>
      <c r="E291" s="244"/>
      <c r="F291" s="243" t="s">
        <v>1604</v>
      </c>
      <c r="G291" s="245" t="s">
        <v>1605</v>
      </c>
      <c r="H291" s="246"/>
      <c r="I291" s="125">
        <v>2029</v>
      </c>
      <c r="J291" s="641" t="s">
        <v>1408</v>
      </c>
      <c r="K291" s="641"/>
      <c r="L291" s="256"/>
      <c r="M291" s="256"/>
      <c r="N291" s="671"/>
    </row>
    <row r="292" spans="1:14" hidden="1" outlineLevel="1" x14ac:dyDescent="0.25">
      <c r="A292" s="534" t="str">
        <f>IFERROR(IF(MATCH($B$281&amp;"-"&amp;$B292,'Protocol reference (numerical)'!$A$3:$A$217,0),"yes","x"),"no")</f>
        <v>yes</v>
      </c>
      <c r="B292" s="1197" t="s">
        <v>988</v>
      </c>
      <c r="C292" s="243"/>
      <c r="D292" s="247"/>
      <c r="E292" s="244"/>
      <c r="F292" s="243" t="s">
        <v>1606</v>
      </c>
      <c r="G292" s="245" t="s">
        <v>1607</v>
      </c>
      <c r="H292" s="246"/>
      <c r="I292" s="125">
        <v>2029</v>
      </c>
      <c r="J292" s="641" t="s">
        <v>1408</v>
      </c>
      <c r="K292" s="641"/>
      <c r="L292" s="256"/>
      <c r="M292" s="256"/>
      <c r="N292" s="671"/>
    </row>
    <row r="293" spans="1:14" hidden="1" outlineLevel="1" x14ac:dyDescent="0.25">
      <c r="A293" s="534" t="str">
        <f>IFERROR(IF(MATCH($B$281&amp;"-"&amp;$B293,'Protocol reference (numerical)'!$A$3:$A$217,0),"yes","x"),"no")</f>
        <v>yes</v>
      </c>
      <c r="B293" s="1197" t="s">
        <v>990</v>
      </c>
      <c r="C293" s="243"/>
      <c r="D293" s="247"/>
      <c r="E293" s="244"/>
      <c r="F293" s="243" t="s">
        <v>1608</v>
      </c>
      <c r="G293" s="245" t="s">
        <v>1607</v>
      </c>
      <c r="H293" s="246"/>
      <c r="I293" s="125">
        <v>2029</v>
      </c>
      <c r="J293" s="641" t="s">
        <v>1408</v>
      </c>
      <c r="K293" s="641"/>
      <c r="L293" s="256"/>
      <c r="M293" s="256"/>
      <c r="N293" s="671"/>
    </row>
    <row r="294" spans="1:14" hidden="1" outlineLevel="1" x14ac:dyDescent="0.25">
      <c r="A294" s="534" t="str">
        <f>IFERROR(IF(MATCH($B$281&amp;"-"&amp;$B294,'Protocol reference (numerical)'!$A$3:$A$217,0),"yes","x"),"no")</f>
        <v>no</v>
      </c>
      <c r="B294" s="1197">
        <v>4</v>
      </c>
      <c r="C294" s="237" t="s">
        <v>386</v>
      </c>
      <c r="D294" s="930" t="s">
        <v>1167</v>
      </c>
      <c r="E294" s="240" t="s">
        <v>696</v>
      </c>
      <c r="F294" s="237" t="s">
        <v>341</v>
      </c>
      <c r="G294" s="248">
        <v>0.1</v>
      </c>
      <c r="H294" s="241"/>
      <c r="I294" s="126">
        <v>2022</v>
      </c>
      <c r="J294" s="641" t="s">
        <v>1416</v>
      </c>
      <c r="K294" s="641"/>
      <c r="L294" s="256" t="s">
        <v>1168</v>
      </c>
      <c r="M294" s="256"/>
      <c r="N294" s="671"/>
    </row>
    <row r="295" spans="1:14" ht="30" hidden="1" outlineLevel="1" x14ac:dyDescent="0.25">
      <c r="A295" s="534" t="str">
        <f>IFERROR(IF(MATCH($B$281&amp;"-"&amp;$B295,'Protocol reference (numerical)'!$A$3:$A$217,0),"yes","x"),"no")</f>
        <v>no</v>
      </c>
      <c r="B295" s="1197">
        <v>5</v>
      </c>
      <c r="C295" s="237" t="s">
        <v>387</v>
      </c>
      <c r="D295" s="930" t="s">
        <v>388</v>
      </c>
      <c r="E295" s="240" t="s">
        <v>696</v>
      </c>
      <c r="F295" s="237" t="s">
        <v>1169</v>
      </c>
      <c r="G295" s="249">
        <v>100000</v>
      </c>
      <c r="H295" s="241"/>
      <c r="I295" s="126">
        <v>2020</v>
      </c>
      <c r="J295" s="641" t="s">
        <v>1420</v>
      </c>
      <c r="K295" s="641"/>
      <c r="L295" s="256" t="s">
        <v>1170</v>
      </c>
      <c r="M295" s="256"/>
      <c r="N295" s="671"/>
    </row>
    <row r="296" spans="1:14" ht="30" hidden="1" outlineLevel="1" x14ac:dyDescent="0.25">
      <c r="A296" s="534" t="str">
        <f>IFERROR(IF(MATCH($B$281&amp;"-"&amp;$B296,'Protocol reference (numerical)'!$A$3:$A$217,0),"yes","x"),"no")</f>
        <v>yes</v>
      </c>
      <c r="B296" s="1197">
        <v>6</v>
      </c>
      <c r="C296" s="243" t="s">
        <v>1171</v>
      </c>
      <c r="D296" s="930" t="s">
        <v>1609</v>
      </c>
      <c r="E296" s="240" t="s">
        <v>696</v>
      </c>
      <c r="F296" s="237" t="s">
        <v>389</v>
      </c>
      <c r="G296" s="241">
        <v>97</v>
      </c>
      <c r="H296" s="241"/>
      <c r="I296" s="126">
        <v>2020</v>
      </c>
      <c r="J296" s="641"/>
      <c r="K296" s="641"/>
      <c r="L296" s="256"/>
      <c r="M296" s="256"/>
      <c r="N296" s="671"/>
    </row>
    <row r="297" spans="1:14" hidden="1" outlineLevel="1" x14ac:dyDescent="0.25">
      <c r="A297" s="534" t="str">
        <f>IFERROR(IF(MATCH($B$281&amp;"-"&amp;$B297,'Protocol reference (numerical)'!$A$3:$A$217,0),"yes","x"),"no")</f>
        <v>no</v>
      </c>
      <c r="B297" s="1197"/>
      <c r="C297" s="250"/>
      <c r="D297" s="242"/>
      <c r="E297" s="240"/>
      <c r="F297" s="237" t="s">
        <v>1172</v>
      </c>
      <c r="G297" s="241">
        <v>24.3</v>
      </c>
      <c r="H297" s="241"/>
      <c r="I297" s="126">
        <v>2020</v>
      </c>
      <c r="J297" s="641"/>
      <c r="K297" s="641"/>
      <c r="L297" s="671" t="s">
        <v>1179</v>
      </c>
      <c r="M297" s="256"/>
      <c r="N297" s="671"/>
    </row>
    <row r="298" spans="1:14" ht="60" hidden="1" outlineLevel="1" x14ac:dyDescent="0.25">
      <c r="A298" s="534" t="str">
        <f>IFERROR(IF(MATCH($B$281&amp;"-"&amp;$B298,'Protocol reference (numerical)'!$A$3:$A$217,0),"yes","x"),"no")</f>
        <v>no</v>
      </c>
      <c r="B298" s="1197">
        <v>7</v>
      </c>
      <c r="C298" s="237" t="s">
        <v>2272</v>
      </c>
      <c r="D298" s="930" t="s">
        <v>390</v>
      </c>
      <c r="E298" s="240" t="s">
        <v>696</v>
      </c>
      <c r="F298" s="237" t="s">
        <v>391</v>
      </c>
      <c r="G298" s="249">
        <v>200000</v>
      </c>
      <c r="H298" s="241">
        <v>2010</v>
      </c>
      <c r="I298" s="126">
        <v>2020</v>
      </c>
      <c r="J298" s="641" t="s">
        <v>1420</v>
      </c>
      <c r="K298" s="641"/>
      <c r="L298" s="256" t="s">
        <v>1626</v>
      </c>
      <c r="M298" s="256"/>
      <c r="N298" s="794"/>
    </row>
    <row r="299" spans="1:14" hidden="1" outlineLevel="1" x14ac:dyDescent="0.25">
      <c r="A299" s="534" t="str">
        <f>IFERROR(IF(MATCH($B$281&amp;"-"&amp;$B299,'Protocol reference (numerical)'!$A$3:$A$217,0),"yes","x"),"no")</f>
        <v>no</v>
      </c>
      <c r="B299" s="1197" t="s">
        <v>511</v>
      </c>
      <c r="C299" s="237" t="s">
        <v>1173</v>
      </c>
      <c r="D299" s="930" t="s">
        <v>1174</v>
      </c>
      <c r="E299" s="240" t="s">
        <v>696</v>
      </c>
      <c r="F299" s="237"/>
      <c r="G299" s="241"/>
      <c r="H299" s="241"/>
      <c r="I299" s="126"/>
      <c r="J299" s="641" t="s">
        <v>1416</v>
      </c>
      <c r="K299" s="641"/>
      <c r="L299" s="807" t="s">
        <v>1175</v>
      </c>
      <c r="M299" s="256"/>
      <c r="N299" s="671"/>
    </row>
    <row r="300" spans="1:14" ht="30" hidden="1" outlineLevel="1" x14ac:dyDescent="0.25">
      <c r="A300" s="534" t="str">
        <f>IFERROR(IF(MATCH($B$281&amp;"-"&amp;$B300,'Protocol reference (numerical)'!$A$3:$A$217,0),"yes","x"),"no")</f>
        <v>no</v>
      </c>
      <c r="B300" s="1197" t="s">
        <v>515</v>
      </c>
      <c r="C300" s="237" t="s">
        <v>1176</v>
      </c>
      <c r="D300" s="242"/>
      <c r="E300" s="240"/>
      <c r="F300" s="237"/>
      <c r="G300" s="241"/>
      <c r="H300" s="241"/>
      <c r="I300" s="126"/>
      <c r="J300" s="641" t="s">
        <v>1416</v>
      </c>
      <c r="K300" s="641"/>
      <c r="L300" s="793" t="s">
        <v>1182</v>
      </c>
      <c r="M300" s="256"/>
    </row>
    <row r="301" spans="1:14" hidden="1" outlineLevel="1" x14ac:dyDescent="0.25">
      <c r="A301" s="534" t="str">
        <f>IFERROR(IF(MATCH($B$281&amp;"-"&amp;$B301,'Protocol reference (numerical)'!$A$3:$A$217,0),"yes","x"),"no")</f>
        <v>yes</v>
      </c>
      <c r="B301" s="1197">
        <v>9</v>
      </c>
      <c r="C301" s="237" t="s">
        <v>392</v>
      </c>
      <c r="D301" s="930" t="s">
        <v>393</v>
      </c>
      <c r="E301" s="240" t="s">
        <v>696</v>
      </c>
      <c r="F301" s="237" t="s">
        <v>2507</v>
      </c>
      <c r="G301" s="248">
        <v>0.03</v>
      </c>
      <c r="H301" s="241"/>
      <c r="I301" s="126">
        <v>2018</v>
      </c>
      <c r="J301" s="641" t="s">
        <v>1464</v>
      </c>
      <c r="K301" s="642">
        <v>0.01</v>
      </c>
      <c r="L301" s="256" t="s">
        <v>1627</v>
      </c>
      <c r="M301" s="256"/>
      <c r="N301" s="671"/>
    </row>
    <row r="302" spans="1:14" ht="30" hidden="1" outlineLevel="1" x14ac:dyDescent="0.25">
      <c r="A302" s="534" t="str">
        <f>IFERROR(IF(MATCH($B$281&amp;"-"&amp;$B302,'Protocol reference (numerical)'!$A$3:$A$217,0),"yes","x"),"no")</f>
        <v>no</v>
      </c>
      <c r="B302" s="1197">
        <v>10</v>
      </c>
      <c r="C302" s="237" t="s">
        <v>1610</v>
      </c>
      <c r="D302" s="930" t="s">
        <v>1611</v>
      </c>
      <c r="E302" s="240" t="s">
        <v>696</v>
      </c>
      <c r="F302" s="237" t="s">
        <v>1612</v>
      </c>
      <c r="G302" s="248" t="s">
        <v>1613</v>
      </c>
      <c r="H302" s="241"/>
      <c r="I302" s="126">
        <v>1992</v>
      </c>
      <c r="J302" s="640" t="s">
        <v>1420</v>
      </c>
      <c r="K302" s="640"/>
      <c r="L302" s="807" t="s">
        <v>1177</v>
      </c>
      <c r="M302" s="256"/>
      <c r="N302" s="795"/>
    </row>
    <row r="303" spans="1:14" ht="30" hidden="1" outlineLevel="1" x14ac:dyDescent="0.25">
      <c r="A303" s="534" t="str">
        <f>IFERROR(IF(MATCH($B$281&amp;"-"&amp;$B303,'Protocol reference (numerical)'!$A$3:$A$217,0),"yes","x"),"no")</f>
        <v>no</v>
      </c>
      <c r="B303" s="1213" t="s">
        <v>3</v>
      </c>
      <c r="C303" s="237" t="s">
        <v>1589</v>
      </c>
      <c r="D303" s="930" t="s">
        <v>1590</v>
      </c>
      <c r="E303" s="240" t="s">
        <v>784</v>
      </c>
      <c r="F303" s="237" t="s">
        <v>339</v>
      </c>
      <c r="G303" s="241" t="s">
        <v>421</v>
      </c>
      <c r="H303" s="241" t="s">
        <v>1614</v>
      </c>
      <c r="I303" s="126">
        <v>2020</v>
      </c>
      <c r="J303" s="640" t="s">
        <v>1467</v>
      </c>
      <c r="K303" s="740">
        <v>0.3</v>
      </c>
      <c r="L303" s="256"/>
      <c r="M303" s="256"/>
      <c r="N303" s="795"/>
    </row>
    <row r="304" spans="1:14" ht="30" hidden="1" outlineLevel="1" x14ac:dyDescent="0.25">
      <c r="A304" s="534" t="str">
        <f>IFERROR(IF(MATCH($B$281&amp;"-"&amp;$B304,'Protocol reference (numerical)'!$A$3:$A$217,0),"yes","x"),"no")</f>
        <v>no</v>
      </c>
      <c r="B304" s="1213" t="s">
        <v>802</v>
      </c>
      <c r="C304" s="237" t="s">
        <v>1589</v>
      </c>
      <c r="D304" s="930" t="s">
        <v>1590</v>
      </c>
      <c r="E304" s="240" t="s">
        <v>784</v>
      </c>
      <c r="F304" s="237" t="s">
        <v>1615</v>
      </c>
      <c r="G304" s="241" t="s">
        <v>1616</v>
      </c>
      <c r="H304" s="241" t="s">
        <v>1617</v>
      </c>
      <c r="I304" s="126">
        <v>2020</v>
      </c>
      <c r="J304" s="640" t="s">
        <v>784</v>
      </c>
      <c r="K304" s="641"/>
      <c r="L304" s="256"/>
      <c r="M304" s="256"/>
      <c r="N304" s="671"/>
    </row>
    <row r="305" spans="1:14" ht="30" hidden="1" outlineLevel="1" x14ac:dyDescent="0.25">
      <c r="A305" s="534" t="str">
        <f>IFERROR(IF(MATCH($B$281&amp;"-"&amp;$B305,'Protocol reference (numerical)'!$A$3:$A$217,0),"yes","x"),"no")</f>
        <v>no</v>
      </c>
      <c r="B305" s="1218" t="s">
        <v>836</v>
      </c>
      <c r="C305" s="237" t="s">
        <v>1589</v>
      </c>
      <c r="D305" s="930" t="s">
        <v>1590</v>
      </c>
      <c r="E305" s="240" t="s">
        <v>784</v>
      </c>
      <c r="F305" s="237" t="s">
        <v>1618</v>
      </c>
      <c r="G305" s="241" t="s">
        <v>1619</v>
      </c>
      <c r="H305" s="241" t="s">
        <v>1620</v>
      </c>
      <c r="I305" s="126">
        <v>2020</v>
      </c>
      <c r="J305" s="640" t="s">
        <v>784</v>
      </c>
      <c r="K305" s="641"/>
      <c r="L305" s="256"/>
      <c r="M305" s="256"/>
      <c r="N305" s="671"/>
    </row>
    <row r="306" spans="1:14" hidden="1" outlineLevel="1" x14ac:dyDescent="0.25">
      <c r="A306" s="534" t="str">
        <f>IFERROR(IF(MATCH($B$281&amp;"-"&amp;$B306,'Protocol reference (numerical)'!$A$3:$A$217,0),"yes","x"),"no")</f>
        <v>yes</v>
      </c>
      <c r="B306" s="1197">
        <v>1</v>
      </c>
      <c r="C306" s="237" t="s">
        <v>375</v>
      </c>
      <c r="D306" s="242"/>
      <c r="E306" s="240" t="s">
        <v>784</v>
      </c>
      <c r="F306" s="237" t="s">
        <v>339</v>
      </c>
      <c r="G306" s="241" t="s">
        <v>373</v>
      </c>
      <c r="H306" s="241" t="s">
        <v>374</v>
      </c>
      <c r="I306" s="126">
        <v>2030</v>
      </c>
      <c r="J306" s="640" t="s">
        <v>1467</v>
      </c>
      <c r="K306" s="642">
        <v>0.37</v>
      </c>
      <c r="L306" s="791" t="s">
        <v>1178</v>
      </c>
      <c r="M306" s="256"/>
      <c r="N306" s="671"/>
    </row>
    <row r="307" spans="1:14" ht="30" hidden="1" outlineLevel="1" x14ac:dyDescent="0.25">
      <c r="A307" s="534" t="str">
        <f>IFERROR(IF(MATCH($B$281&amp;"-"&amp;$B307,'Protocol reference (numerical)'!$A$3:$A$217,0),"yes","x"),"no")</f>
        <v>no</v>
      </c>
      <c r="B307" s="1197" t="s">
        <v>34</v>
      </c>
      <c r="C307" s="237" t="s">
        <v>380</v>
      </c>
      <c r="D307" s="930" t="s">
        <v>378</v>
      </c>
      <c r="E307" s="240" t="s">
        <v>784</v>
      </c>
      <c r="F307" s="237" t="s">
        <v>1180</v>
      </c>
      <c r="G307" s="241" t="s">
        <v>381</v>
      </c>
      <c r="H307" s="241" t="s">
        <v>382</v>
      </c>
      <c r="I307" s="126">
        <v>2035</v>
      </c>
      <c r="J307" s="640" t="s">
        <v>784</v>
      </c>
      <c r="K307" s="640"/>
      <c r="L307" s="127"/>
      <c r="M307" s="256"/>
      <c r="N307" s="671"/>
    </row>
    <row r="308" spans="1:14" ht="30" hidden="1" outlineLevel="1" x14ac:dyDescent="0.25">
      <c r="A308" s="534" t="str">
        <f>IFERROR(IF(MATCH($B$281&amp;"-"&amp;$B308,'Protocol reference (numerical)'!$A$3:$A$217,0),"yes","x"),"no")</f>
        <v>no</v>
      </c>
      <c r="B308" s="1197" t="s">
        <v>708</v>
      </c>
      <c r="C308" s="237" t="s">
        <v>380</v>
      </c>
      <c r="D308" s="930" t="s">
        <v>378</v>
      </c>
      <c r="E308" s="240" t="s">
        <v>784</v>
      </c>
      <c r="F308" s="237" t="s">
        <v>383</v>
      </c>
      <c r="G308" s="241" t="s">
        <v>384</v>
      </c>
      <c r="H308" s="241" t="s">
        <v>385</v>
      </c>
      <c r="I308" s="126">
        <v>2035</v>
      </c>
      <c r="J308" s="640" t="s">
        <v>784</v>
      </c>
      <c r="K308" s="640"/>
      <c r="L308" s="127"/>
      <c r="M308" s="256"/>
      <c r="N308" s="671"/>
    </row>
    <row r="309" spans="1:14" hidden="1" outlineLevel="1" x14ac:dyDescent="0.25">
      <c r="A309" s="534" t="str">
        <f>IFERROR(IF(MATCH($B$281&amp;"-"&amp;$B309,'Protocol reference (numerical)'!$A$3:$A$217,0),"yes","x"),"no")</f>
        <v>yes</v>
      </c>
      <c r="B309" s="1197" t="s">
        <v>5</v>
      </c>
      <c r="C309" s="237" t="s">
        <v>1594</v>
      </c>
      <c r="D309" s="930" t="s">
        <v>379</v>
      </c>
      <c r="E309" s="240" t="s">
        <v>784</v>
      </c>
      <c r="F309" s="237" t="s">
        <v>341</v>
      </c>
      <c r="G309" s="251">
        <v>0.13400000000000001</v>
      </c>
      <c r="H309" s="241"/>
      <c r="I309" s="126">
        <v>2035</v>
      </c>
      <c r="J309" s="640" t="s">
        <v>784</v>
      </c>
      <c r="K309" s="640"/>
      <c r="L309" s="256" t="s">
        <v>1181</v>
      </c>
      <c r="M309" s="256"/>
      <c r="N309" s="671"/>
    </row>
    <row r="310" spans="1:14" ht="30" hidden="1" outlineLevel="1" x14ac:dyDescent="0.25">
      <c r="A310" s="534" t="str">
        <f>IFERROR(IF(MATCH($B$281&amp;"-"&amp;$B310,'Protocol reference (numerical)'!$A$3:$A$217,0),"yes","x"),"no")</f>
        <v>no</v>
      </c>
      <c r="B310" s="1197" t="s">
        <v>813</v>
      </c>
      <c r="C310" s="237" t="s">
        <v>1183</v>
      </c>
      <c r="D310" s="930" t="s">
        <v>379</v>
      </c>
      <c r="E310" s="240" t="s">
        <v>784</v>
      </c>
      <c r="F310" s="237" t="s">
        <v>340</v>
      </c>
      <c r="G310" s="248">
        <v>0.11</v>
      </c>
      <c r="H310" s="241"/>
      <c r="I310" s="126">
        <v>2035</v>
      </c>
      <c r="J310" s="640" t="s">
        <v>784</v>
      </c>
      <c r="K310" s="640"/>
      <c r="L310" s="256"/>
      <c r="M310" s="256"/>
      <c r="N310" s="671"/>
    </row>
    <row r="311" spans="1:14" ht="30" hidden="1" outlineLevel="1" x14ac:dyDescent="0.25">
      <c r="A311" s="534" t="str">
        <f>IFERROR(IF(MATCH($B$281&amp;"-"&amp;$B311,'Protocol reference (numerical)'!$A$3:$A$217,0),"yes","x"),"no")</f>
        <v>no</v>
      </c>
      <c r="B311" s="1197">
        <v>4</v>
      </c>
      <c r="C311" s="237" t="s">
        <v>1621</v>
      </c>
      <c r="D311" s="931" t="s">
        <v>1165</v>
      </c>
      <c r="E311" s="244" t="s">
        <v>784</v>
      </c>
      <c r="F311" s="243" t="s">
        <v>1622</v>
      </c>
      <c r="G311" s="245" t="s">
        <v>1184</v>
      </c>
      <c r="H311" s="246" t="s">
        <v>1623</v>
      </c>
      <c r="I311" s="125">
        <v>2029</v>
      </c>
      <c r="J311" s="640" t="s">
        <v>784</v>
      </c>
      <c r="K311" s="640"/>
      <c r="M311" s="256"/>
      <c r="N311" s="671"/>
    </row>
    <row r="312" spans="1:14" ht="30" hidden="1" outlineLevel="1" x14ac:dyDescent="0.25">
      <c r="A312" s="534" t="str">
        <f>IFERROR(IF(MATCH($B$281&amp;"-"&amp;$B312,'Protocol reference (numerical)'!$A$3:$A$217,0),"yes","x"),"no")</f>
        <v>no</v>
      </c>
      <c r="B312" s="1197"/>
      <c r="C312" s="237"/>
      <c r="D312" s="247"/>
      <c r="E312" s="244"/>
      <c r="F312" s="243" t="s">
        <v>1185</v>
      </c>
      <c r="G312" s="245" t="s">
        <v>1186</v>
      </c>
      <c r="H312" s="246" t="s">
        <v>1624</v>
      </c>
      <c r="I312" s="125">
        <v>2029</v>
      </c>
      <c r="J312" s="640" t="s">
        <v>784</v>
      </c>
      <c r="K312" s="640"/>
      <c r="M312" s="256"/>
      <c r="N312" s="671"/>
    </row>
    <row r="313" spans="1:14" hidden="1" outlineLevel="1" x14ac:dyDescent="0.25">
      <c r="A313" s="534" t="str">
        <f>IFERROR(IF(MATCH($B$281&amp;"-"&amp;$B313,'Protocol reference (numerical)'!$A$3:$A$217,0),"yes","x"),"no")</f>
        <v>no</v>
      </c>
      <c r="B313" s="1219">
        <v>13</v>
      </c>
      <c r="C313" s="252" t="s">
        <v>1187</v>
      </c>
      <c r="D313" s="253" t="s">
        <v>1187</v>
      </c>
      <c r="E313" s="254"/>
      <c r="F313" s="252"/>
      <c r="G313" s="255"/>
      <c r="H313" s="255"/>
      <c r="I313" s="179"/>
      <c r="J313" s="643" t="s">
        <v>1420</v>
      </c>
      <c r="K313" s="848"/>
      <c r="L313" s="807"/>
      <c r="M313" s="256"/>
      <c r="N313" s="671"/>
    </row>
    <row r="314" spans="1:14" ht="30" hidden="1" outlineLevel="1" x14ac:dyDescent="0.25">
      <c r="A314" s="534" t="str">
        <f>IFERROR(IF(MATCH($B$281&amp;"-"&amp;$B314,'Protocol reference (numerical)'!$A$3:$A$217,0),"yes","x"),"no")</f>
        <v>no</v>
      </c>
      <c r="B314" s="1219">
        <v>14</v>
      </c>
      <c r="C314" s="252" t="s">
        <v>1188</v>
      </c>
      <c r="D314" s="253" t="s">
        <v>1188</v>
      </c>
      <c r="E314" s="254"/>
      <c r="F314" s="252"/>
      <c r="G314" s="1215"/>
      <c r="H314" s="255"/>
      <c r="I314" s="1216"/>
      <c r="J314" s="643"/>
      <c r="K314" s="848"/>
      <c r="L314" s="807"/>
      <c r="M314" s="256"/>
      <c r="N314" s="671"/>
    </row>
    <row r="315" spans="1:14" hidden="1" outlineLevel="1" x14ac:dyDescent="0.25">
      <c r="A315" s="534" t="str">
        <f>IFERROR(IF(MATCH($B$281&amp;"-"&amp;$B315,'Protocol reference (numerical)'!$A$3:$A$217,0),"yes","x"),"no")</f>
        <v>no</v>
      </c>
      <c r="B315" s="1220">
        <v>15</v>
      </c>
      <c r="C315" s="128" t="s">
        <v>1189</v>
      </c>
      <c r="D315" s="129"/>
      <c r="E315" s="130"/>
      <c r="F315" s="128"/>
      <c r="G315" s="131"/>
      <c r="H315" s="132"/>
      <c r="I315" s="180"/>
      <c r="J315" s="644" t="s">
        <v>1420</v>
      </c>
      <c r="K315" s="849"/>
      <c r="L315" s="807"/>
      <c r="M315" s="256"/>
      <c r="N315" s="671"/>
    </row>
    <row r="316" spans="1:14" collapsed="1" x14ac:dyDescent="0.25">
      <c r="B316"/>
      <c r="C316"/>
    </row>
    <row r="317" spans="1:14" ht="23.25" x14ac:dyDescent="0.35">
      <c r="B317" s="485" t="s">
        <v>15</v>
      </c>
      <c r="C317" s="483" t="s">
        <v>334</v>
      </c>
      <c r="D317" s="483" t="s">
        <v>335</v>
      </c>
      <c r="E317" s="486" t="s">
        <v>336</v>
      </c>
      <c r="F317" s="483" t="s">
        <v>1419</v>
      </c>
      <c r="G317" s="858" t="s">
        <v>337</v>
      </c>
      <c r="H317" s="858" t="s">
        <v>2</v>
      </c>
      <c r="I317" s="833" t="s">
        <v>338</v>
      </c>
      <c r="J317" s="484" t="s">
        <v>1418</v>
      </c>
      <c r="K317" s="850" t="s">
        <v>2201</v>
      </c>
      <c r="L317" s="798" t="s">
        <v>690</v>
      </c>
    </row>
    <row r="318" spans="1:14" ht="45" hidden="1" outlineLevel="1" x14ac:dyDescent="0.25">
      <c r="A318" s="534" t="str">
        <f>IFERROR(IF(MATCH($B$317&amp;"-"&amp;$B318,'Protocol reference (numerical)'!$A$3:$A$217,0),"yes","x"),"no")</f>
        <v>no</v>
      </c>
      <c r="B318" s="1167" t="s">
        <v>1743</v>
      </c>
      <c r="C318" s="488" t="s">
        <v>1818</v>
      </c>
      <c r="D318" s="489" t="s">
        <v>2531</v>
      </c>
      <c r="E318" s="515" t="s">
        <v>784</v>
      </c>
      <c r="F318" s="490" t="s">
        <v>1819</v>
      </c>
      <c r="G318" s="901">
        <v>0.25</v>
      </c>
      <c r="H318" s="522" t="s">
        <v>374</v>
      </c>
      <c r="I318" s="871">
        <v>2030</v>
      </c>
      <c r="J318" s="605" t="s">
        <v>1467</v>
      </c>
      <c r="K318" s="663">
        <v>0.25</v>
      </c>
      <c r="L318" s="791" t="s">
        <v>1820</v>
      </c>
      <c r="M318" s="791" t="s">
        <v>1821</v>
      </c>
    </row>
    <row r="319" spans="1:14" ht="30" hidden="1" outlineLevel="1" x14ac:dyDescent="0.25">
      <c r="A319" s="534" t="str">
        <f>IFERROR(IF(MATCH($B$317&amp;"-"&amp;$B319,'Protocol reference (numerical)'!$A$3:$A$217,0),"yes","x"),"no")</f>
        <v>no</v>
      </c>
      <c r="B319" s="1168" t="s">
        <v>1822</v>
      </c>
      <c r="C319" s="500" t="s">
        <v>1823</v>
      </c>
      <c r="D319" s="501" t="s">
        <v>2531</v>
      </c>
      <c r="E319" s="515" t="s">
        <v>784</v>
      </c>
      <c r="F319" s="502" t="s">
        <v>1819</v>
      </c>
      <c r="G319" s="587">
        <v>0.4</v>
      </c>
      <c r="H319" s="503" t="s">
        <v>374</v>
      </c>
      <c r="I319" s="876">
        <v>2030</v>
      </c>
      <c r="J319" s="453" t="s">
        <v>1467</v>
      </c>
      <c r="K319" s="624">
        <v>0.4</v>
      </c>
      <c r="L319" s="791" t="s">
        <v>1820</v>
      </c>
    </row>
    <row r="320" spans="1:14" hidden="1" outlineLevel="1" x14ac:dyDescent="0.25">
      <c r="A320" s="534" t="str">
        <f>IFERROR(IF(MATCH($B$317&amp;"-"&amp;$B320,'Protocol reference (numerical)'!$A$3:$A$217,0),"yes","x"),"no")</f>
        <v>no</v>
      </c>
      <c r="B320" s="1168" t="s">
        <v>1771</v>
      </c>
      <c r="C320" s="500" t="s">
        <v>1190</v>
      </c>
      <c r="D320" s="501" t="s">
        <v>2531</v>
      </c>
      <c r="E320" s="502" t="s">
        <v>696</v>
      </c>
      <c r="F320" s="502" t="s">
        <v>1824</v>
      </c>
      <c r="G320" s="587">
        <v>0</v>
      </c>
      <c r="H320" s="503"/>
      <c r="I320" s="876">
        <v>2030</v>
      </c>
      <c r="J320" s="453" t="s">
        <v>1417</v>
      </c>
      <c r="K320" s="631"/>
    </row>
    <row r="321" spans="1:13" ht="60" hidden="1" outlineLevel="1" x14ac:dyDescent="0.25">
      <c r="A321" s="534" t="str">
        <f>IFERROR(IF(MATCH($B$317&amp;"-"&amp;$B321,'Protocol reference (numerical)'!$A$3:$A$217,0),"yes","x"),"no")</f>
        <v>yes</v>
      </c>
      <c r="B321" s="422">
        <v>1</v>
      </c>
      <c r="C321" s="482" t="s">
        <v>1191</v>
      </c>
      <c r="D321" s="491" t="s">
        <v>1192</v>
      </c>
      <c r="E321" s="492" t="s">
        <v>696</v>
      </c>
      <c r="F321" s="492" t="s">
        <v>1193</v>
      </c>
      <c r="G321" s="226" t="s">
        <v>1194</v>
      </c>
      <c r="H321" s="523"/>
      <c r="I321" s="527">
        <v>2016</v>
      </c>
      <c r="J321" s="452" t="s">
        <v>1412</v>
      </c>
      <c r="K321" s="626" t="s">
        <v>1708</v>
      </c>
    </row>
    <row r="322" spans="1:13" hidden="1" outlineLevel="1" x14ac:dyDescent="0.25">
      <c r="A322" s="534" t="str">
        <f>IFERROR(IF(MATCH($B$317&amp;"-"&amp;$B322,'Protocol reference (numerical)'!$A$3:$A$217,0),"yes","x"),"no")</f>
        <v>no</v>
      </c>
      <c r="B322" s="422" t="s">
        <v>34</v>
      </c>
      <c r="C322" s="482" t="s">
        <v>1195</v>
      </c>
      <c r="D322" s="491" t="s">
        <v>1196</v>
      </c>
      <c r="E322" s="492" t="s">
        <v>1197</v>
      </c>
      <c r="F322" s="492" t="s">
        <v>1402</v>
      </c>
      <c r="G322" s="825">
        <v>0.3</v>
      </c>
      <c r="H322" s="523" t="s">
        <v>374</v>
      </c>
      <c r="I322" s="527">
        <v>2020</v>
      </c>
      <c r="J322" s="452" t="s">
        <v>54</v>
      </c>
      <c r="K322" s="628">
        <v>0.3</v>
      </c>
    </row>
    <row r="323" spans="1:13" hidden="1" outlineLevel="1" x14ac:dyDescent="0.25">
      <c r="A323" s="534" t="str">
        <f>IFERROR(IF(MATCH($B$317&amp;"-"&amp;$B323,'Protocol reference (numerical)'!$A$3:$A$217,0),"yes","x"),"no")</f>
        <v>yes</v>
      </c>
      <c r="B323" s="422" t="s">
        <v>5</v>
      </c>
      <c r="C323" s="482" t="s">
        <v>1195</v>
      </c>
      <c r="D323" s="491" t="s">
        <v>1199</v>
      </c>
      <c r="E323" s="492" t="s">
        <v>696</v>
      </c>
      <c r="F323" s="492" t="s">
        <v>1200</v>
      </c>
      <c r="G323" s="226" t="s">
        <v>1709</v>
      </c>
      <c r="H323" s="523">
        <v>2012</v>
      </c>
      <c r="I323" s="527">
        <v>2018</v>
      </c>
      <c r="J323" s="452"/>
      <c r="K323" s="626"/>
      <c r="L323" s="791" t="s">
        <v>1710</v>
      </c>
    </row>
    <row r="324" spans="1:13" hidden="1" outlineLevel="1" x14ac:dyDescent="0.25">
      <c r="A324" s="534" t="str">
        <f>IFERROR(IF(MATCH($B$317&amp;"-"&amp;$B324,'Protocol reference (numerical)'!$A$3:$A$217,0),"yes","x"),"no")</f>
        <v>yes</v>
      </c>
      <c r="B324" s="422" t="s">
        <v>33</v>
      </c>
      <c r="C324" s="482" t="s">
        <v>1210</v>
      </c>
      <c r="D324" s="491" t="s">
        <v>1211</v>
      </c>
      <c r="E324" s="492" t="s">
        <v>696</v>
      </c>
      <c r="F324" s="492" t="s">
        <v>1212</v>
      </c>
      <c r="G324" s="226" t="s">
        <v>1213</v>
      </c>
      <c r="H324" s="523"/>
      <c r="I324" s="527">
        <v>2018</v>
      </c>
      <c r="J324" s="452"/>
      <c r="K324" s="626"/>
      <c r="L324" s="791" t="s">
        <v>1214</v>
      </c>
    </row>
    <row r="325" spans="1:13" hidden="1" outlineLevel="1" x14ac:dyDescent="0.25">
      <c r="A325" s="534" t="str">
        <f>IFERROR(IF(MATCH($B$317&amp;"-"&amp;$B325,'Protocol reference (numerical)'!$A$3:$A$217,0),"yes","x"),"no")</f>
        <v>yes</v>
      </c>
      <c r="B325" s="422" t="s">
        <v>561</v>
      </c>
      <c r="C325" s="482" t="s">
        <v>1210</v>
      </c>
      <c r="D325" s="491" t="s">
        <v>1211</v>
      </c>
      <c r="E325" s="492" t="s">
        <v>696</v>
      </c>
      <c r="F325" s="492" t="s">
        <v>1212</v>
      </c>
      <c r="G325" s="226" t="s">
        <v>1215</v>
      </c>
      <c r="H325" s="523"/>
      <c r="I325" s="527">
        <v>2025</v>
      </c>
      <c r="J325" s="452"/>
      <c r="K325" s="626"/>
      <c r="L325" s="791" t="s">
        <v>1214</v>
      </c>
    </row>
    <row r="326" spans="1:13" hidden="1" outlineLevel="1" x14ac:dyDescent="0.25">
      <c r="A326" s="534" t="str">
        <f>IFERROR(IF(MATCH($B$317&amp;"-"&amp;$B326,'Protocol reference (numerical)'!$A$3:$A$217,0),"yes","x"),"no")</f>
        <v>no</v>
      </c>
      <c r="B326" s="422" t="s">
        <v>1216</v>
      </c>
      <c r="C326" s="482" t="s">
        <v>1217</v>
      </c>
      <c r="D326" s="491" t="s">
        <v>1211</v>
      </c>
      <c r="E326" s="492" t="s">
        <v>696</v>
      </c>
      <c r="F326" s="492" t="s">
        <v>1218</v>
      </c>
      <c r="G326" s="226" t="s">
        <v>1219</v>
      </c>
      <c r="H326" s="523"/>
      <c r="I326" s="527">
        <v>2018</v>
      </c>
      <c r="J326" s="452"/>
      <c r="K326" s="626"/>
      <c r="L326" s="791" t="s">
        <v>1220</v>
      </c>
    </row>
    <row r="327" spans="1:13" hidden="1" outlineLevel="1" x14ac:dyDescent="0.25">
      <c r="A327" s="534" t="str">
        <f>IFERROR(IF(MATCH($B$317&amp;"-"&amp;$B327,'Protocol reference (numerical)'!$A$3:$A$217,0),"yes","x"),"no")</f>
        <v>no</v>
      </c>
      <c r="B327" s="422" t="s">
        <v>1221</v>
      </c>
      <c r="C327" s="482" t="s">
        <v>1217</v>
      </c>
      <c r="D327" s="491" t="s">
        <v>1211</v>
      </c>
      <c r="E327" s="492" t="s">
        <v>696</v>
      </c>
      <c r="F327" s="492" t="s">
        <v>1218</v>
      </c>
      <c r="G327" s="226" t="s">
        <v>1222</v>
      </c>
      <c r="H327" s="523"/>
      <c r="I327" s="527">
        <v>2025</v>
      </c>
      <c r="J327" s="452"/>
      <c r="K327" s="626"/>
      <c r="L327" s="791" t="s">
        <v>1220</v>
      </c>
    </row>
    <row r="328" spans="1:13" hidden="1" outlineLevel="1" x14ac:dyDescent="0.25">
      <c r="A328" s="534" t="str">
        <f>IFERROR(IF(MATCH($B$317&amp;"-"&amp;$B328,'Protocol reference (numerical)'!$A$3:$A$217,0),"yes","x"),"no")</f>
        <v>yes</v>
      </c>
      <c r="B328" s="422">
        <v>7</v>
      </c>
      <c r="C328" s="482" t="s">
        <v>1223</v>
      </c>
      <c r="D328" s="491" t="s">
        <v>461</v>
      </c>
      <c r="E328" s="492" t="s">
        <v>696</v>
      </c>
      <c r="F328" s="492" t="s">
        <v>1224</v>
      </c>
      <c r="G328" s="226" t="s">
        <v>1225</v>
      </c>
      <c r="H328" s="523">
        <v>2014</v>
      </c>
      <c r="I328" s="527"/>
      <c r="J328" s="452" t="s">
        <v>1416</v>
      </c>
      <c r="K328" s="626"/>
    </row>
    <row r="329" spans="1:13" ht="60" hidden="1" outlineLevel="1" x14ac:dyDescent="0.25">
      <c r="A329" s="534" t="str">
        <f>IFERROR(IF(MATCH($B$317&amp;"-"&amp;$B329,'Protocol reference (numerical)'!$A$3:$A$217,0),"yes","x"),"no")</f>
        <v>no</v>
      </c>
      <c r="B329" s="422">
        <v>9</v>
      </c>
      <c r="C329" s="496" t="s">
        <v>1226</v>
      </c>
      <c r="D329" s="491" t="s">
        <v>1227</v>
      </c>
      <c r="E329" s="492" t="s">
        <v>696</v>
      </c>
      <c r="F329" s="492" t="s">
        <v>1228</v>
      </c>
      <c r="G329" s="825" t="s">
        <v>1229</v>
      </c>
      <c r="H329" s="523"/>
      <c r="I329" s="527" t="s">
        <v>1230</v>
      </c>
      <c r="J329" s="452"/>
      <c r="K329" s="626" t="s">
        <v>1711</v>
      </c>
      <c r="M329" s="97"/>
    </row>
    <row r="330" spans="1:13" hidden="1" outlineLevel="1" x14ac:dyDescent="0.25">
      <c r="A330" s="534" t="str">
        <f>IFERROR(IF(MATCH($B$317&amp;"-"&amp;$B330,'Protocol reference (numerical)'!$A$3:$A$217,0),"yes","x"),"no")</f>
        <v>yes</v>
      </c>
      <c r="B330" s="422" t="s">
        <v>35</v>
      </c>
      <c r="C330" s="482" t="s">
        <v>1231</v>
      </c>
      <c r="D330" s="491" t="s">
        <v>1232</v>
      </c>
      <c r="E330" s="492" t="s">
        <v>696</v>
      </c>
      <c r="F330" s="492" t="s">
        <v>1233</v>
      </c>
      <c r="G330" s="825">
        <v>0.25</v>
      </c>
      <c r="H330" s="523"/>
      <c r="I330" s="527">
        <v>2018</v>
      </c>
      <c r="J330" s="452" t="s">
        <v>1406</v>
      </c>
      <c r="K330" s="628" t="s">
        <v>1712</v>
      </c>
      <c r="L330" s="791" t="s">
        <v>1234</v>
      </c>
    </row>
    <row r="331" spans="1:13" hidden="1" outlineLevel="1" x14ac:dyDescent="0.25">
      <c r="A331" s="534" t="str">
        <f>IFERROR(IF(MATCH($B$317&amp;"-"&amp;$B331,'Protocol reference (numerical)'!$A$3:$A$217,0),"yes","x"),"no")</f>
        <v>yes</v>
      </c>
      <c r="B331" s="422" t="s">
        <v>962</v>
      </c>
      <c r="C331" s="482" t="s">
        <v>1231</v>
      </c>
      <c r="D331" s="491" t="s">
        <v>1232</v>
      </c>
      <c r="E331" s="492" t="s">
        <v>696</v>
      </c>
      <c r="F331" s="492" t="s">
        <v>1233</v>
      </c>
      <c r="G331" s="825">
        <v>0.3</v>
      </c>
      <c r="H331" s="523"/>
      <c r="I331" s="527">
        <v>2021</v>
      </c>
      <c r="J331" s="452" t="s">
        <v>1406</v>
      </c>
      <c r="K331" s="628" t="s">
        <v>1713</v>
      </c>
      <c r="L331" s="791" t="s">
        <v>1234</v>
      </c>
    </row>
    <row r="332" spans="1:13" hidden="1" outlineLevel="1" x14ac:dyDescent="0.25">
      <c r="A332" s="534" t="str">
        <f>IFERROR(IF(MATCH($B$317&amp;"-"&amp;$B332,'Protocol reference (numerical)'!$A$3:$A$217,0),"yes","x"),"no")</f>
        <v>yes</v>
      </c>
      <c r="B332" s="422" t="s">
        <v>966</v>
      </c>
      <c r="C332" s="482" t="s">
        <v>1231</v>
      </c>
      <c r="D332" s="491" t="s">
        <v>1232</v>
      </c>
      <c r="E332" s="492" t="s">
        <v>696</v>
      </c>
      <c r="F332" s="492" t="s">
        <v>1233</v>
      </c>
      <c r="G332" s="825">
        <v>0.35</v>
      </c>
      <c r="H332" s="523"/>
      <c r="I332" s="527">
        <v>2024</v>
      </c>
      <c r="J332" s="452" t="s">
        <v>1406</v>
      </c>
      <c r="K332" s="628" t="s">
        <v>1714</v>
      </c>
      <c r="L332" s="791" t="s">
        <v>1234</v>
      </c>
    </row>
    <row r="333" spans="1:13" ht="45" hidden="1" outlineLevel="1" x14ac:dyDescent="0.25">
      <c r="A333" s="534" t="str">
        <f>IFERROR(IF(MATCH($B$317&amp;"-"&amp;$B333,'Protocol reference (numerical)'!$A$3:$A$217,0),"yes","x"),"no")</f>
        <v>no</v>
      </c>
      <c r="B333" s="422">
        <v>11</v>
      </c>
      <c r="C333" s="482" t="s">
        <v>1825</v>
      </c>
      <c r="D333" s="543" t="s">
        <v>1826</v>
      </c>
      <c r="E333" s="492" t="s">
        <v>696</v>
      </c>
      <c r="F333" s="492" t="s">
        <v>1827</v>
      </c>
      <c r="G333" s="825" t="s">
        <v>1828</v>
      </c>
      <c r="H333" s="523">
        <v>2015</v>
      </c>
      <c r="I333" s="527"/>
      <c r="J333" s="452" t="s">
        <v>1416</v>
      </c>
      <c r="K333" s="628"/>
    </row>
    <row r="334" spans="1:13" ht="45" hidden="1" outlineLevel="1" x14ac:dyDescent="0.25">
      <c r="A334" s="534" t="str">
        <f>IFERROR(IF(MATCH($B$317&amp;"-"&amp;$B334,'Protocol reference (numerical)'!$A$3:$A$217,0),"yes","x"),"no")</f>
        <v>no</v>
      </c>
      <c r="B334" s="422">
        <v>12</v>
      </c>
      <c r="C334" s="482" t="s">
        <v>1829</v>
      </c>
      <c r="D334" s="509" t="s">
        <v>1830</v>
      </c>
      <c r="E334" s="492" t="s">
        <v>696</v>
      </c>
      <c r="F334" s="492" t="s">
        <v>1831</v>
      </c>
      <c r="G334" s="825" t="s">
        <v>1832</v>
      </c>
      <c r="H334" s="523"/>
      <c r="I334" s="527"/>
      <c r="J334" s="452"/>
      <c r="K334" s="628" t="s">
        <v>1833</v>
      </c>
    </row>
    <row r="335" spans="1:13" ht="30" hidden="1" outlineLevel="1" x14ac:dyDescent="0.25">
      <c r="A335" s="534" t="str">
        <f>IFERROR(IF(MATCH($B$317&amp;"-"&amp;$B335,'Protocol reference (numerical)'!$A$3:$A$217,0),"yes","x"),"no")</f>
        <v>no</v>
      </c>
      <c r="B335" s="422">
        <v>4</v>
      </c>
      <c r="C335" s="504" t="s">
        <v>1201</v>
      </c>
      <c r="D335" s="491" t="s">
        <v>1202</v>
      </c>
      <c r="E335" s="492" t="s">
        <v>696</v>
      </c>
      <c r="F335" s="492" t="s">
        <v>2124</v>
      </c>
      <c r="G335" s="226" t="s">
        <v>1203</v>
      </c>
      <c r="H335" s="523"/>
      <c r="I335" s="527"/>
      <c r="J335" s="452" t="s">
        <v>1416</v>
      </c>
      <c r="K335" s="626"/>
      <c r="L335" s="791" t="s">
        <v>1204</v>
      </c>
    </row>
    <row r="336" spans="1:13" ht="30" hidden="1" outlineLevel="1" x14ac:dyDescent="0.25">
      <c r="A336" s="534" t="str">
        <f>IFERROR(IF(MATCH($B$317&amp;"-"&amp;$B336,'Protocol reference (numerical)'!$A$3:$A$217,0),"yes","x"),"no")</f>
        <v>no</v>
      </c>
      <c r="B336" s="422">
        <v>5</v>
      </c>
      <c r="C336" s="482" t="s">
        <v>1205</v>
      </c>
      <c r="D336" s="491" t="s">
        <v>1206</v>
      </c>
      <c r="E336" s="492" t="s">
        <v>696</v>
      </c>
      <c r="F336" s="492" t="s">
        <v>1207</v>
      </c>
      <c r="G336" s="226" t="s">
        <v>1208</v>
      </c>
      <c r="H336" s="523"/>
      <c r="I336" s="527"/>
      <c r="J336" s="452" t="s">
        <v>1416</v>
      </c>
      <c r="K336" s="626"/>
      <c r="L336" s="791" t="s">
        <v>1209</v>
      </c>
    </row>
    <row r="337" spans="1:14" hidden="1" outlineLevel="1" x14ac:dyDescent="0.25">
      <c r="A337" s="534" t="str">
        <f>IFERROR(IF(MATCH($B$317&amp;"-"&amp;$B337,'Protocol reference (numerical)'!$A$3:$A$217,0),"yes","x"),"no")</f>
        <v>no</v>
      </c>
      <c r="B337" s="1169" t="s">
        <v>511</v>
      </c>
      <c r="C337" s="498" t="s">
        <v>1235</v>
      </c>
      <c r="D337" s="499" t="s">
        <v>1236</v>
      </c>
      <c r="E337" s="497" t="s">
        <v>696</v>
      </c>
      <c r="F337" s="497" t="s">
        <v>1237</v>
      </c>
      <c r="G337" s="911">
        <v>0.58699999999999997</v>
      </c>
      <c r="H337" s="526"/>
      <c r="I337" s="866">
        <v>2018</v>
      </c>
      <c r="J337" s="408" t="s">
        <v>1416</v>
      </c>
      <c r="K337" s="661"/>
      <c r="L337" s="791" t="s">
        <v>1238</v>
      </c>
    </row>
    <row r="338" spans="1:14" hidden="1" outlineLevel="1" x14ac:dyDescent="0.25">
      <c r="A338" s="534" t="str">
        <f>IFERROR(IF(MATCH($B$317&amp;"-"&amp;$B338,'Protocol reference (numerical)'!$A$3:$A$217,0),"yes","x"),"no")</f>
        <v>no</v>
      </c>
      <c r="B338" s="1169" t="s">
        <v>515</v>
      </c>
      <c r="C338" s="498" t="s">
        <v>1239</v>
      </c>
      <c r="D338" s="499" t="s">
        <v>1236</v>
      </c>
      <c r="E338" s="497" t="s">
        <v>696</v>
      </c>
      <c r="F338" s="497" t="s">
        <v>1240</v>
      </c>
      <c r="G338" s="912">
        <v>0.94</v>
      </c>
      <c r="H338" s="526"/>
      <c r="I338" s="866">
        <v>2018</v>
      </c>
      <c r="J338" s="408" t="s">
        <v>1416</v>
      </c>
      <c r="K338" s="661"/>
    </row>
    <row r="339" spans="1:14" ht="30" hidden="1" outlineLevel="1" x14ac:dyDescent="0.25">
      <c r="A339" s="534" t="str">
        <f>IFERROR(IF(MATCH($B$317&amp;"-"&amp;$B339,'Protocol reference (numerical)'!$A$3:$A$217,0),"yes","x"),"no")</f>
        <v>no</v>
      </c>
      <c r="B339" s="1169" t="s">
        <v>896</v>
      </c>
      <c r="C339" s="505" t="s">
        <v>1241</v>
      </c>
      <c r="D339" s="499" t="s">
        <v>1236</v>
      </c>
      <c r="E339" s="497" t="s">
        <v>696</v>
      </c>
      <c r="F339" s="497" t="s">
        <v>1242</v>
      </c>
      <c r="G339" s="911">
        <v>0.10199999999999999</v>
      </c>
      <c r="H339" s="526"/>
      <c r="I339" s="866">
        <v>2018</v>
      </c>
      <c r="J339" s="408" t="s">
        <v>1416</v>
      </c>
      <c r="K339" s="661"/>
    </row>
    <row r="340" spans="1:14" s="459" customFormat="1" hidden="1" outlineLevel="1" x14ac:dyDescent="0.25">
      <c r="A340" s="534" t="str">
        <f>IFERROR(IF(MATCH($B$317&amp;"-"&amp;$B340,'Protocol reference (numerical)'!$A$3:$A$217,0),"yes","x"),"no")</f>
        <v>no</v>
      </c>
      <c r="B340" s="1169" t="s">
        <v>898</v>
      </c>
      <c r="C340" s="498" t="s">
        <v>1243</v>
      </c>
      <c r="D340" s="499" t="s">
        <v>1236</v>
      </c>
      <c r="E340" s="497" t="s">
        <v>696</v>
      </c>
      <c r="F340" s="497" t="s">
        <v>1244</v>
      </c>
      <c r="G340" s="911">
        <v>5.45E-2</v>
      </c>
      <c r="H340" s="526"/>
      <c r="I340" s="866">
        <v>2018</v>
      </c>
      <c r="J340" s="408" t="s">
        <v>1416</v>
      </c>
      <c r="K340" s="661"/>
      <c r="L340" s="791" t="s">
        <v>1245</v>
      </c>
      <c r="M340" s="791"/>
      <c r="N340" s="669"/>
    </row>
    <row r="341" spans="1:14" s="459" customFormat="1" ht="30" hidden="1" outlineLevel="1" x14ac:dyDescent="0.25">
      <c r="A341" s="534" t="str">
        <f>IFERROR(IF(MATCH($B$317&amp;"-"&amp;$B341,'Protocol reference (numerical)'!$A$3:$A$217,0),"yes","x"),"no")</f>
        <v>no</v>
      </c>
      <c r="B341" s="1169" t="s">
        <v>1130</v>
      </c>
      <c r="C341" s="498" t="s">
        <v>1190</v>
      </c>
      <c r="D341" s="499" t="s">
        <v>1236</v>
      </c>
      <c r="E341" s="497" t="s">
        <v>696</v>
      </c>
      <c r="F341" s="497" t="s">
        <v>1246</v>
      </c>
      <c r="G341" s="911">
        <v>2E-3</v>
      </c>
      <c r="H341" s="526"/>
      <c r="I341" s="866">
        <v>2015</v>
      </c>
      <c r="J341" s="408" t="s">
        <v>1417</v>
      </c>
      <c r="K341" s="661" t="s">
        <v>1715</v>
      </c>
      <c r="L341" s="791" t="s">
        <v>1247</v>
      </c>
      <c r="M341" s="791"/>
      <c r="N341" s="669"/>
    </row>
    <row r="342" spans="1:14" s="459" customFormat="1" ht="30" hidden="1" outlineLevel="1" x14ac:dyDescent="0.25">
      <c r="A342" s="534" t="str">
        <f>IFERROR(IF(MATCH($B$317&amp;"-"&amp;$B342,'Protocol reference (numerical)'!$A$3:$A$217,0),"yes","x"),"no")</f>
        <v>yes</v>
      </c>
      <c r="B342" s="1169" t="s">
        <v>1248</v>
      </c>
      <c r="C342" s="498" t="s">
        <v>1895</v>
      </c>
      <c r="D342" s="499" t="s">
        <v>1236</v>
      </c>
      <c r="E342" s="497" t="s">
        <v>696</v>
      </c>
      <c r="F342" s="497" t="s">
        <v>1249</v>
      </c>
      <c r="G342" s="331" t="s">
        <v>1250</v>
      </c>
      <c r="H342" s="526" t="s">
        <v>374</v>
      </c>
      <c r="I342" s="866">
        <v>2018</v>
      </c>
      <c r="J342" s="408" t="s">
        <v>54</v>
      </c>
      <c r="K342" s="661" t="s">
        <v>1716</v>
      </c>
      <c r="L342" s="791" t="s">
        <v>1717</v>
      </c>
      <c r="M342" s="791"/>
      <c r="N342" s="669"/>
    </row>
    <row r="343" spans="1:14" s="459" customFormat="1" ht="30" hidden="1" outlineLevel="1" x14ac:dyDescent="0.25">
      <c r="A343" s="534" t="str">
        <f>IFERROR(IF(MATCH($B$317&amp;"-"&amp;$B343,'Protocol reference (numerical)'!$A$3:$A$217,0),"yes","x"),"no")</f>
        <v>yes</v>
      </c>
      <c r="B343" s="1169" t="s">
        <v>1251</v>
      </c>
      <c r="C343" s="498" t="s">
        <v>1252</v>
      </c>
      <c r="D343" s="499" t="s">
        <v>1236</v>
      </c>
      <c r="E343" s="497" t="s">
        <v>696</v>
      </c>
      <c r="F343" s="497" t="s">
        <v>1253</v>
      </c>
      <c r="G343" s="912">
        <v>0.3</v>
      </c>
      <c r="H343" s="526">
        <v>2012</v>
      </c>
      <c r="I343" s="866">
        <v>2018</v>
      </c>
      <c r="J343" s="408" t="s">
        <v>1416</v>
      </c>
      <c r="K343" s="661"/>
      <c r="L343" s="791"/>
      <c r="M343" s="791"/>
      <c r="N343" s="669"/>
    </row>
    <row r="344" spans="1:14" s="534" customFormat="1" hidden="1" outlineLevel="1" x14ac:dyDescent="0.25">
      <c r="A344" s="534" t="str">
        <f>IFERROR(IF(MATCH($B$317&amp;"-"&amp;$B344,'Protocol reference (numerical)'!$A$3:$A$217,0),"yes","x"),"no")</f>
        <v>no</v>
      </c>
      <c r="B344" s="1188" t="s">
        <v>710</v>
      </c>
      <c r="C344" s="398" t="s">
        <v>1254</v>
      </c>
      <c r="D344" s="399" t="s">
        <v>1196</v>
      </c>
      <c r="E344" s="373" t="s">
        <v>784</v>
      </c>
      <c r="F344" s="373" t="s">
        <v>1896</v>
      </c>
      <c r="G344" s="913" t="s">
        <v>1898</v>
      </c>
      <c r="H344" s="374">
        <v>2018</v>
      </c>
      <c r="I344" s="867">
        <v>2050</v>
      </c>
      <c r="J344" s="408" t="s">
        <v>54</v>
      </c>
      <c r="K344" s="851" t="s">
        <v>1897</v>
      </c>
      <c r="L344" s="791" t="s">
        <v>1899</v>
      </c>
      <c r="M344" s="791"/>
      <c r="N344" s="669"/>
    </row>
    <row r="345" spans="1:14" s="459" customFormat="1" hidden="1" outlineLevel="1" x14ac:dyDescent="0.25">
      <c r="A345" s="534" t="str">
        <f>IFERROR(IF(MATCH($B$317&amp;"-"&amp;$B345,'Protocol reference (numerical)'!$A$3:$A$217,0),"yes","x"),"no")</f>
        <v>no</v>
      </c>
      <c r="B345" s="1189" t="s">
        <v>710</v>
      </c>
      <c r="C345" s="493" t="s">
        <v>1254</v>
      </c>
      <c r="D345" s="494" t="s">
        <v>1196</v>
      </c>
      <c r="E345" s="495" t="s">
        <v>784</v>
      </c>
      <c r="F345" s="495" t="s">
        <v>1198</v>
      </c>
      <c r="G345" s="903">
        <v>0.5</v>
      </c>
      <c r="H345" s="430">
        <v>2000</v>
      </c>
      <c r="I345" s="885">
        <v>2050</v>
      </c>
      <c r="J345" s="452" t="s">
        <v>54</v>
      </c>
      <c r="K345" s="628">
        <v>0.5</v>
      </c>
      <c r="L345" s="791"/>
      <c r="M345" s="791"/>
      <c r="N345" s="669"/>
    </row>
    <row r="346" spans="1:14" hidden="1" outlineLevel="1" x14ac:dyDescent="0.25">
      <c r="A346" s="534" t="str">
        <f>IFERROR(IF(MATCH($B$317&amp;"-"&amp;$B346,'Protocol reference (numerical)'!$A$3:$A$217,0),"yes","x"),"no")</f>
        <v>no</v>
      </c>
      <c r="B346" s="1172" t="s">
        <v>1255</v>
      </c>
      <c r="C346" s="506" t="s">
        <v>1256</v>
      </c>
      <c r="D346" s="507" t="s">
        <v>1236</v>
      </c>
      <c r="E346" s="508" t="s">
        <v>784</v>
      </c>
      <c r="F346" s="508" t="s">
        <v>1257</v>
      </c>
      <c r="G346" s="914">
        <v>0</v>
      </c>
      <c r="H346" s="868"/>
      <c r="I346" s="869">
        <v>2018</v>
      </c>
      <c r="J346" s="603" t="s">
        <v>1416</v>
      </c>
      <c r="K346" s="662"/>
      <c r="L346" s="791" t="s">
        <v>1258</v>
      </c>
    </row>
    <row r="347" spans="1:14" collapsed="1" x14ac:dyDescent="0.25">
      <c r="B347" s="43"/>
      <c r="C347" s="44"/>
      <c r="D347" s="44"/>
      <c r="E347" s="44"/>
      <c r="F347" s="44"/>
      <c r="G347" s="838"/>
      <c r="H347" s="870"/>
      <c r="I347" s="870"/>
      <c r="J347" s="44"/>
      <c r="K347" s="838"/>
    </row>
    <row r="348" spans="1:14" ht="23.25" x14ac:dyDescent="0.35">
      <c r="B348" s="512" t="s">
        <v>181</v>
      </c>
      <c r="C348" s="510" t="s">
        <v>334</v>
      </c>
      <c r="D348" s="510" t="s">
        <v>335</v>
      </c>
      <c r="E348" s="513" t="s">
        <v>336</v>
      </c>
      <c r="F348" s="510" t="s">
        <v>1419</v>
      </c>
      <c r="G348" s="858" t="s">
        <v>337</v>
      </c>
      <c r="H348" s="858" t="s">
        <v>2</v>
      </c>
      <c r="I348" s="833" t="s">
        <v>338</v>
      </c>
      <c r="J348" s="511" t="s">
        <v>1418</v>
      </c>
      <c r="K348" s="852" t="s">
        <v>2201</v>
      </c>
      <c r="L348" s="798" t="s">
        <v>690</v>
      </c>
    </row>
    <row r="349" spans="1:14" hidden="1" outlineLevel="1" x14ac:dyDescent="0.25">
      <c r="A349" s="534" t="str">
        <f>IFERROR(IF(MATCH($B$348&amp;"-"&amp;$B349,'Protocol reference (numerical)'!$A$3:$A$217,0),"yes","x"),"no")</f>
        <v>no</v>
      </c>
      <c r="B349" s="1190">
        <v>0</v>
      </c>
      <c r="C349" s="355" t="s">
        <v>1834</v>
      </c>
      <c r="D349" s="932" t="s">
        <v>2532</v>
      </c>
      <c r="E349" s="355" t="s">
        <v>784</v>
      </c>
      <c r="F349" s="355" t="s">
        <v>1835</v>
      </c>
      <c r="G349" s="578" t="s">
        <v>1836</v>
      </c>
      <c r="H349" s="429">
        <v>1990</v>
      </c>
      <c r="I349" s="859">
        <v>2030</v>
      </c>
      <c r="J349" s="933" t="s">
        <v>1467</v>
      </c>
      <c r="K349" s="934" t="s">
        <v>1836</v>
      </c>
    </row>
    <row r="350" spans="1:14" ht="45" hidden="1" outlineLevel="1" x14ac:dyDescent="0.25">
      <c r="A350" s="534" t="str">
        <f>IFERROR(IF(MATCH($B$348&amp;"-"&amp;$B350,'Protocol reference (numerical)'!$A$3:$A$217,0),"yes","x"),"no")</f>
        <v>no</v>
      </c>
      <c r="B350" s="1180">
        <v>1</v>
      </c>
      <c r="C350" s="515" t="s">
        <v>1837</v>
      </c>
      <c r="D350" s="514" t="s">
        <v>1838</v>
      </c>
      <c r="E350" s="515" t="s">
        <v>784</v>
      </c>
      <c r="F350" s="515" t="s">
        <v>1813</v>
      </c>
      <c r="G350" s="824">
        <v>0.25</v>
      </c>
      <c r="H350" s="860">
        <v>1990</v>
      </c>
      <c r="I350" s="861">
        <v>2020</v>
      </c>
      <c r="J350" s="453" t="s">
        <v>54</v>
      </c>
      <c r="K350" s="624">
        <v>0.25</v>
      </c>
      <c r="L350" s="791" t="s">
        <v>1839</v>
      </c>
    </row>
    <row r="351" spans="1:14" ht="30" hidden="1" outlineLevel="1" x14ac:dyDescent="0.25">
      <c r="A351" s="534" t="str">
        <f>IFERROR(IF(MATCH($B$348&amp;"-"&amp;$B351,'Protocol reference (numerical)'!$A$3:$A$217,0),"yes","x"),"no")</f>
        <v>yes</v>
      </c>
      <c r="B351" s="422">
        <v>2</v>
      </c>
      <c r="C351" s="518" t="s">
        <v>1259</v>
      </c>
      <c r="D351" s="517" t="s">
        <v>1260</v>
      </c>
      <c r="E351" s="518" t="s">
        <v>696</v>
      </c>
      <c r="F351" s="518" t="s">
        <v>1261</v>
      </c>
      <c r="G351" s="226" t="s">
        <v>1262</v>
      </c>
      <c r="H351" s="523"/>
      <c r="I351" s="527" t="s">
        <v>1263</v>
      </c>
      <c r="J351" s="645"/>
      <c r="K351" s="626" t="s">
        <v>1718</v>
      </c>
    </row>
    <row r="352" spans="1:14" hidden="1" outlineLevel="1" x14ac:dyDescent="0.25">
      <c r="A352" s="534" t="str">
        <f>IFERROR(IF(MATCH($B$348&amp;"-"&amp;$B352,'Protocol reference (numerical)'!$A$3:$A$217,0),"yes","x"),"no")</f>
        <v>yes</v>
      </c>
      <c r="B352" s="422" t="s">
        <v>5</v>
      </c>
      <c r="C352" s="518" t="s">
        <v>1264</v>
      </c>
      <c r="D352" s="517" t="s">
        <v>1265</v>
      </c>
      <c r="E352" s="518" t="s">
        <v>784</v>
      </c>
      <c r="F352" s="518" t="s">
        <v>1840</v>
      </c>
      <c r="G352" s="825">
        <v>0.4</v>
      </c>
      <c r="H352" s="523">
        <v>2007</v>
      </c>
      <c r="I352" s="527">
        <v>2020</v>
      </c>
      <c r="J352" s="452"/>
      <c r="K352" s="841">
        <v>0.13500000000000001</v>
      </c>
      <c r="L352" s="791" t="s">
        <v>2250</v>
      </c>
    </row>
    <row r="353" spans="1:14" hidden="1" outlineLevel="1" x14ac:dyDescent="0.25">
      <c r="A353" s="534" t="str">
        <f>IFERROR(IF(MATCH($B$348&amp;"-"&amp;$B353,'Protocol reference (numerical)'!$A$3:$A$217,0),"yes","x"),"no")</f>
        <v>yes</v>
      </c>
      <c r="B353" s="422" t="s">
        <v>813</v>
      </c>
      <c r="C353" s="518" t="s">
        <v>751</v>
      </c>
      <c r="D353" s="517" t="s">
        <v>1265</v>
      </c>
      <c r="E353" s="518" t="s">
        <v>696</v>
      </c>
      <c r="F353" s="518" t="s">
        <v>1266</v>
      </c>
      <c r="G353" s="915">
        <v>2.5000000000000001E-2</v>
      </c>
      <c r="H353" s="523"/>
      <c r="I353" s="527">
        <v>2020</v>
      </c>
      <c r="J353" s="452" t="s">
        <v>1498</v>
      </c>
      <c r="K353" s="629">
        <v>2.5000000000000001E-2</v>
      </c>
    </row>
    <row r="354" spans="1:14" hidden="1" outlineLevel="1" x14ac:dyDescent="0.25">
      <c r="A354" s="534" t="str">
        <f>IFERROR(IF(MATCH($B$348&amp;"-"&amp;$B354,'Protocol reference (numerical)'!$A$3:$A$217,0),"yes","x"),"no")</f>
        <v>no</v>
      </c>
      <c r="B354" s="422" t="s">
        <v>351</v>
      </c>
      <c r="C354" s="518" t="s">
        <v>1267</v>
      </c>
      <c r="D354" s="517" t="s">
        <v>1268</v>
      </c>
      <c r="E354" s="518" t="s">
        <v>696</v>
      </c>
      <c r="F354" s="518" t="s">
        <v>1269</v>
      </c>
      <c r="G354" s="226" t="s">
        <v>1270</v>
      </c>
      <c r="H354" s="523"/>
      <c r="I354" s="527" t="s">
        <v>1271</v>
      </c>
      <c r="J354" s="452" t="s">
        <v>1416</v>
      </c>
      <c r="K354" s="626"/>
      <c r="L354" s="97"/>
    </row>
    <row r="355" spans="1:14" hidden="1" outlineLevel="1" x14ac:dyDescent="0.25">
      <c r="A355" s="534" t="str">
        <f>IFERROR(IF(MATCH($B$348&amp;"-"&amp;$B355,'Protocol reference (numerical)'!$A$3:$A$217,0),"yes","x"),"no")</f>
        <v>yes</v>
      </c>
      <c r="B355" s="422" t="s">
        <v>550</v>
      </c>
      <c r="C355" s="518" t="s">
        <v>1272</v>
      </c>
      <c r="D355" s="517" t="s">
        <v>1268</v>
      </c>
      <c r="E355" s="518" t="s">
        <v>696</v>
      </c>
      <c r="F355" s="518" t="s">
        <v>1272</v>
      </c>
      <c r="G355" s="226" t="s">
        <v>1273</v>
      </c>
      <c r="H355" s="523"/>
      <c r="I355" s="527">
        <v>2014</v>
      </c>
      <c r="J355" s="452" t="s">
        <v>1416</v>
      </c>
      <c r="K355" s="626"/>
      <c r="L355" s="808"/>
    </row>
    <row r="356" spans="1:14" ht="45" hidden="1" outlineLevel="1" x14ac:dyDescent="0.25">
      <c r="A356" s="534" t="str">
        <f>IFERROR(IF(MATCH($B$348&amp;"-"&amp;$B356,'Protocol reference (numerical)'!$A$3:$A$217,0),"yes","x"),"no")</f>
        <v>no</v>
      </c>
      <c r="B356" s="422" t="s">
        <v>1274</v>
      </c>
      <c r="C356" s="518" t="s">
        <v>1275</v>
      </c>
      <c r="D356" s="517" t="s">
        <v>1268</v>
      </c>
      <c r="E356" s="518" t="s">
        <v>696</v>
      </c>
      <c r="F356" s="518" t="s">
        <v>1276</v>
      </c>
      <c r="G356" s="226" t="s">
        <v>1277</v>
      </c>
      <c r="H356" s="523"/>
      <c r="I356" s="527"/>
      <c r="J356" s="452" t="s">
        <v>1416</v>
      </c>
      <c r="K356" s="626"/>
      <c r="L356" s="791" t="s">
        <v>1278</v>
      </c>
    </row>
    <row r="357" spans="1:14" hidden="1" outlineLevel="1" x14ac:dyDescent="0.25">
      <c r="A357" s="534" t="str">
        <f>IFERROR(IF(MATCH($B$348&amp;"-"&amp;$B357,'Protocol reference (numerical)'!$A$3:$A$217,0),"yes","x"),"no")</f>
        <v>no</v>
      </c>
      <c r="B357" s="422" t="s">
        <v>1279</v>
      </c>
      <c r="C357" s="518" t="s">
        <v>1280</v>
      </c>
      <c r="D357" s="517" t="s">
        <v>1281</v>
      </c>
      <c r="E357" s="518" t="s">
        <v>784</v>
      </c>
      <c r="F357" s="518" t="s">
        <v>1280</v>
      </c>
      <c r="G357" s="825">
        <v>0.56000000000000005</v>
      </c>
      <c r="H357" s="523">
        <v>2005</v>
      </c>
      <c r="I357" s="527">
        <v>2030</v>
      </c>
      <c r="J357" s="452" t="s">
        <v>1680</v>
      </c>
      <c r="K357" s="626" t="s">
        <v>1719</v>
      </c>
      <c r="L357" s="808" t="s">
        <v>1720</v>
      </c>
    </row>
    <row r="358" spans="1:14" ht="30" hidden="1" outlineLevel="1" x14ac:dyDescent="0.25">
      <c r="A358" s="534" t="str">
        <f>IFERROR(IF(MATCH($B$348&amp;"-"&amp;$B358,'Protocol reference (numerical)'!$A$3:$A$217,0),"yes","x"),"no")</f>
        <v>no</v>
      </c>
      <c r="B358" s="422" t="s">
        <v>1282</v>
      </c>
      <c r="C358" s="518" t="s">
        <v>1283</v>
      </c>
      <c r="D358" s="517" t="s">
        <v>1281</v>
      </c>
      <c r="E358" s="518" t="s">
        <v>784</v>
      </c>
      <c r="F358" s="518" t="s">
        <v>1283</v>
      </c>
      <c r="G358" s="226" t="s">
        <v>1284</v>
      </c>
      <c r="H358" s="523">
        <v>2005</v>
      </c>
      <c r="I358" s="527">
        <v>2030</v>
      </c>
      <c r="J358" s="452"/>
      <c r="K358" s="626" t="s">
        <v>1721</v>
      </c>
      <c r="L358" s="808" t="s">
        <v>1722</v>
      </c>
    </row>
    <row r="359" spans="1:14" hidden="1" outlineLevel="1" x14ac:dyDescent="0.25">
      <c r="A359" s="534" t="str">
        <f>IFERROR(IF(MATCH($B$348&amp;"-"&amp;$B359,'Protocol reference (numerical)'!$A$3:$A$217,0),"yes","x"),"no")</f>
        <v>no</v>
      </c>
      <c r="B359" s="422" t="s">
        <v>1285</v>
      </c>
      <c r="C359" s="518" t="s">
        <v>1286</v>
      </c>
      <c r="D359" s="517" t="s">
        <v>1281</v>
      </c>
      <c r="E359" s="518" t="s">
        <v>784</v>
      </c>
      <c r="F359" s="518" t="s">
        <v>1286</v>
      </c>
      <c r="G359" s="226" t="s">
        <v>1287</v>
      </c>
      <c r="H359" s="523"/>
      <c r="I359" s="527">
        <v>2030</v>
      </c>
      <c r="J359" s="452"/>
      <c r="K359" s="626" t="s">
        <v>1287</v>
      </c>
      <c r="L359" s="791" t="s">
        <v>1288</v>
      </c>
    </row>
    <row r="360" spans="1:14" hidden="1" outlineLevel="1" x14ac:dyDescent="0.25">
      <c r="A360" s="534" t="str">
        <f>IFERROR(IF(MATCH($B$348&amp;"-"&amp;$B360,'Protocol reference (numerical)'!$A$3:$A$217,0),"yes","x"),"no")</f>
        <v>no</v>
      </c>
      <c r="B360" s="422" t="s">
        <v>1289</v>
      </c>
      <c r="C360" s="518" t="s">
        <v>834</v>
      </c>
      <c r="D360" s="517" t="s">
        <v>1281</v>
      </c>
      <c r="E360" s="518" t="s">
        <v>784</v>
      </c>
      <c r="F360" s="518" t="s">
        <v>834</v>
      </c>
      <c r="G360" s="226" t="s">
        <v>1290</v>
      </c>
      <c r="H360" s="523"/>
      <c r="I360" s="527">
        <v>2030</v>
      </c>
      <c r="J360" s="452" t="s">
        <v>1406</v>
      </c>
      <c r="K360" s="626" t="s">
        <v>1723</v>
      </c>
      <c r="L360" s="808"/>
    </row>
    <row r="361" spans="1:14" hidden="1" outlineLevel="1" x14ac:dyDescent="0.25">
      <c r="A361" s="534" t="str">
        <f>IFERROR(IF(MATCH($B$348&amp;"-"&amp;$B361,'Protocol reference (numerical)'!$A$3:$A$217,0),"yes","x"),"no")</f>
        <v>no</v>
      </c>
      <c r="B361" s="422" t="s">
        <v>33</v>
      </c>
      <c r="C361" s="518" t="s">
        <v>1291</v>
      </c>
      <c r="D361" s="517" t="s">
        <v>1292</v>
      </c>
      <c r="E361" s="518" t="s">
        <v>696</v>
      </c>
      <c r="F361" s="518" t="s">
        <v>1291</v>
      </c>
      <c r="G361" s="226" t="s">
        <v>730</v>
      </c>
      <c r="H361" s="523"/>
      <c r="I361" s="527"/>
      <c r="J361" s="452" t="s">
        <v>1416</v>
      </c>
      <c r="K361" s="626" t="s">
        <v>730</v>
      </c>
      <c r="L361" s="791" t="s">
        <v>2251</v>
      </c>
    </row>
    <row r="362" spans="1:14" hidden="1" outlineLevel="1" x14ac:dyDescent="0.25">
      <c r="A362" s="534" t="str">
        <f>IFERROR(IF(MATCH($B$348&amp;"-"&amp;$B362,'Protocol reference (numerical)'!$A$3:$A$217,0),"yes","x"),"no")</f>
        <v>yes</v>
      </c>
      <c r="B362" s="422" t="s">
        <v>561</v>
      </c>
      <c r="C362" s="518" t="s">
        <v>1293</v>
      </c>
      <c r="D362" s="517" t="s">
        <v>1292</v>
      </c>
      <c r="E362" s="518" t="s">
        <v>696</v>
      </c>
      <c r="F362" s="518" t="s">
        <v>1293</v>
      </c>
      <c r="G362" s="226" t="s">
        <v>1294</v>
      </c>
      <c r="H362" s="523"/>
      <c r="I362" s="527">
        <v>2020</v>
      </c>
      <c r="J362" s="452" t="s">
        <v>1408</v>
      </c>
      <c r="K362" s="626" t="s">
        <v>1294</v>
      </c>
      <c r="L362" s="808"/>
    </row>
    <row r="363" spans="1:14" hidden="1" outlineLevel="1" x14ac:dyDescent="0.25">
      <c r="A363" s="534" t="str">
        <f>IFERROR(IF(MATCH($B$348&amp;"-"&amp;$B363,'Protocol reference (numerical)'!$A$3:$A$217,0),"yes","x"),"no")</f>
        <v>yes</v>
      </c>
      <c r="B363" s="422" t="s">
        <v>1216</v>
      </c>
      <c r="C363" s="518" t="s">
        <v>1295</v>
      </c>
      <c r="D363" s="517" t="s">
        <v>1292</v>
      </c>
      <c r="E363" s="518" t="s">
        <v>696</v>
      </c>
      <c r="F363" s="518" t="s">
        <v>1295</v>
      </c>
      <c r="G363" s="226" t="s">
        <v>1296</v>
      </c>
      <c r="H363" s="523"/>
      <c r="I363" s="527">
        <v>2020</v>
      </c>
      <c r="J363" s="452" t="s">
        <v>1408</v>
      </c>
      <c r="K363" s="626" t="s">
        <v>1296</v>
      </c>
    </row>
    <row r="364" spans="1:14" hidden="1" outlineLevel="1" x14ac:dyDescent="0.25">
      <c r="A364" s="534" t="str">
        <f>IFERROR(IF(MATCH($B$348&amp;"-"&amp;$B364,'Protocol reference (numerical)'!$A$3:$A$217,0),"yes","x"),"no")</f>
        <v>yes</v>
      </c>
      <c r="B364" s="422" t="s">
        <v>1221</v>
      </c>
      <c r="C364" s="518" t="s">
        <v>1297</v>
      </c>
      <c r="D364" s="517" t="s">
        <v>1292</v>
      </c>
      <c r="E364" s="518" t="s">
        <v>696</v>
      </c>
      <c r="F364" s="518" t="s">
        <v>1297</v>
      </c>
      <c r="G364" s="226" t="s">
        <v>1298</v>
      </c>
      <c r="H364" s="523"/>
      <c r="I364" s="527">
        <v>2020</v>
      </c>
      <c r="J364" s="452" t="s">
        <v>1408</v>
      </c>
      <c r="K364" s="626" t="s">
        <v>1298</v>
      </c>
    </row>
    <row r="365" spans="1:14" hidden="1" outlineLevel="1" x14ac:dyDescent="0.25">
      <c r="A365" s="534" t="str">
        <f>IFERROR(IF(MATCH($B$348&amp;"-"&amp;$B365,'Protocol reference (numerical)'!$A$3:$A$217,0),"yes","x"),"no")</f>
        <v>no</v>
      </c>
      <c r="B365" s="422">
        <v>7</v>
      </c>
      <c r="C365" s="518" t="s">
        <v>1299</v>
      </c>
      <c r="D365" s="517" t="s">
        <v>1300</v>
      </c>
      <c r="E365" s="518" t="s">
        <v>696</v>
      </c>
      <c r="F365" s="518" t="s">
        <v>1299</v>
      </c>
      <c r="G365" s="825">
        <v>0.4</v>
      </c>
      <c r="H365" s="523">
        <v>2000</v>
      </c>
      <c r="I365" s="527" t="s">
        <v>1301</v>
      </c>
      <c r="J365" s="452"/>
      <c r="K365" s="626"/>
    </row>
    <row r="366" spans="1:14" s="481" customFormat="1" hidden="1" outlineLevel="1" x14ac:dyDescent="0.25">
      <c r="A366" s="534" t="str">
        <f>IFERROR(IF(MATCH($B$348&amp;"-"&amp;$B366,'Protocol reference (numerical)'!$A$3:$A$217,0),"yes","x"),"no")</f>
        <v>no</v>
      </c>
      <c r="B366" s="1169">
        <v>8</v>
      </c>
      <c r="C366" s="524" t="s">
        <v>1302</v>
      </c>
      <c r="D366" s="525" t="s">
        <v>1303</v>
      </c>
      <c r="E366" s="524" t="s">
        <v>696</v>
      </c>
      <c r="F366" s="524" t="s">
        <v>1302</v>
      </c>
      <c r="G366" s="331" t="s">
        <v>1304</v>
      </c>
      <c r="H366" s="526">
        <v>2007</v>
      </c>
      <c r="I366" s="866">
        <v>2020</v>
      </c>
      <c r="J366" s="408"/>
      <c r="K366" s="661"/>
      <c r="L366" s="791"/>
      <c r="M366" s="791"/>
      <c r="N366" s="669"/>
    </row>
    <row r="367" spans="1:14" s="481" customFormat="1" hidden="1" outlineLevel="1" x14ac:dyDescent="0.25">
      <c r="A367" s="534" t="str">
        <f>IFERROR(IF(MATCH($B$348&amp;"-"&amp;$B367,'Protocol reference (numerical)'!$A$3:$A$217,0),"yes","x"),"no")</f>
        <v>no</v>
      </c>
      <c r="B367" s="1189" t="s">
        <v>9</v>
      </c>
      <c r="C367" s="520" t="s">
        <v>1305</v>
      </c>
      <c r="D367" s="519" t="s">
        <v>1281</v>
      </c>
      <c r="E367" s="520" t="s">
        <v>784</v>
      </c>
      <c r="F367" s="520" t="s">
        <v>1305</v>
      </c>
      <c r="G367" s="144" t="s">
        <v>1306</v>
      </c>
      <c r="H367" s="430">
        <v>2005</v>
      </c>
      <c r="I367" s="885">
        <v>2030</v>
      </c>
      <c r="J367" s="452"/>
      <c r="K367" s="626"/>
      <c r="L367" s="791"/>
      <c r="M367" s="791"/>
      <c r="N367" s="669"/>
    </row>
    <row r="368" spans="1:14" hidden="1" outlineLevel="1" x14ac:dyDescent="0.25">
      <c r="A368" s="534" t="str">
        <f>IFERROR(IF(MATCH($B$348&amp;"-"&amp;$B368,'Protocol reference (numerical)'!$A$3:$A$217,0),"yes","x"),"no")</f>
        <v>no</v>
      </c>
      <c r="B368" s="1175" t="s">
        <v>939</v>
      </c>
      <c r="C368" s="529" t="s">
        <v>1307</v>
      </c>
      <c r="D368" s="530" t="s">
        <v>1281</v>
      </c>
      <c r="E368" s="529" t="s">
        <v>784</v>
      </c>
      <c r="F368" s="529" t="s">
        <v>1307</v>
      </c>
      <c r="G368" s="888" t="s">
        <v>1308</v>
      </c>
      <c r="H368" s="378">
        <v>2005</v>
      </c>
      <c r="I368" s="874">
        <v>2030</v>
      </c>
      <c r="J368" s="604"/>
      <c r="K368" s="839"/>
    </row>
    <row r="369" spans="1:14" collapsed="1" x14ac:dyDescent="0.25">
      <c r="B369" s="43"/>
      <c r="C369" s="44"/>
      <c r="D369" s="44"/>
      <c r="E369" s="44"/>
      <c r="F369" s="44"/>
      <c r="G369" s="838"/>
      <c r="H369" s="870"/>
      <c r="I369" s="870"/>
      <c r="J369" s="44"/>
      <c r="K369" s="838"/>
    </row>
    <row r="370" spans="1:14" ht="23.25" x14ac:dyDescent="0.35">
      <c r="B370" s="539" t="s">
        <v>17</v>
      </c>
      <c r="C370" s="537" t="s">
        <v>334</v>
      </c>
      <c r="D370" s="537" t="s">
        <v>335</v>
      </c>
      <c r="E370" s="540" t="s">
        <v>336</v>
      </c>
      <c r="F370" s="537" t="s">
        <v>1419</v>
      </c>
      <c r="G370" s="858" t="s">
        <v>337</v>
      </c>
      <c r="H370" s="858" t="s">
        <v>2</v>
      </c>
      <c r="I370" s="833" t="s">
        <v>338</v>
      </c>
      <c r="J370" s="538" t="s">
        <v>1418</v>
      </c>
      <c r="K370" s="833" t="s">
        <v>2201</v>
      </c>
      <c r="L370" s="798" t="s">
        <v>690</v>
      </c>
    </row>
    <row r="371" spans="1:14" ht="29.25" hidden="1" outlineLevel="1" x14ac:dyDescent="0.25">
      <c r="A371" s="534" t="str">
        <f>IFERROR(IF(MATCH($B$370&amp;"-"&amp;$B371,'Protocol reference (numerical)'!$A$3:$A$217,0),"yes","x"),"no")</f>
        <v>no</v>
      </c>
      <c r="B371" s="487">
        <v>0</v>
      </c>
      <c r="C371" s="541" t="s">
        <v>1841</v>
      </c>
      <c r="D371" s="553" t="s">
        <v>1842</v>
      </c>
      <c r="E371" s="515" t="s">
        <v>784</v>
      </c>
      <c r="F371" s="542" t="s">
        <v>1398</v>
      </c>
      <c r="G371" s="916" t="s">
        <v>1843</v>
      </c>
      <c r="H371" s="522">
        <v>2016</v>
      </c>
      <c r="I371" s="871" t="s">
        <v>1844</v>
      </c>
      <c r="J371" s="616" t="s">
        <v>54</v>
      </c>
      <c r="K371" s="606" t="s">
        <v>1845</v>
      </c>
      <c r="L371" s="799" t="s">
        <v>1846</v>
      </c>
    </row>
    <row r="372" spans="1:14" ht="30" hidden="1" outlineLevel="1" x14ac:dyDescent="0.25">
      <c r="A372" s="534" t="str">
        <f>IFERROR(IF(MATCH($B$370&amp;"-"&amp;$B372,'Protocol reference (numerical)'!$A$3:$A$217,0),"yes","x"),"no")</f>
        <v>yes</v>
      </c>
      <c r="B372" s="1191">
        <v>1</v>
      </c>
      <c r="C372" s="548" t="s">
        <v>536</v>
      </c>
      <c r="D372" s="549" t="s">
        <v>537</v>
      </c>
      <c r="E372" s="550" t="s">
        <v>696</v>
      </c>
      <c r="F372" s="550" t="s">
        <v>538</v>
      </c>
      <c r="G372" s="52"/>
      <c r="H372" s="872">
        <v>2016</v>
      </c>
      <c r="I372" s="873">
        <v>2020</v>
      </c>
      <c r="J372" s="617" t="s">
        <v>1412</v>
      </c>
      <c r="K372" s="626" t="s">
        <v>1847</v>
      </c>
    </row>
    <row r="373" spans="1:14" hidden="1" outlineLevel="1" x14ac:dyDescent="0.25">
      <c r="A373" s="534" t="str">
        <f>IFERROR(IF(MATCH($B$370&amp;"-"&amp;$B373,'Protocol reference (numerical)'!$A$3:$A$217,0),"yes","x"),"no")</f>
        <v>no</v>
      </c>
      <c r="B373" s="516" t="s">
        <v>5</v>
      </c>
      <c r="C373" s="535" t="s">
        <v>542</v>
      </c>
      <c r="D373" s="543" t="s">
        <v>543</v>
      </c>
      <c r="E373" s="544" t="s">
        <v>696</v>
      </c>
      <c r="F373" s="544" t="s">
        <v>544</v>
      </c>
      <c r="G373" s="813" t="s">
        <v>557</v>
      </c>
      <c r="H373" s="523"/>
      <c r="I373" s="527">
        <v>2040</v>
      </c>
      <c r="J373" s="617" t="s">
        <v>1408</v>
      </c>
      <c r="K373" s="853" t="s">
        <v>557</v>
      </c>
      <c r="L373" s="791" t="s">
        <v>1309</v>
      </c>
    </row>
    <row r="374" spans="1:14" hidden="1" outlineLevel="1" x14ac:dyDescent="0.25">
      <c r="A374" s="534" t="str">
        <f>IFERROR(IF(MATCH($B$370&amp;"-"&amp;$B374,'Protocol reference (numerical)'!$A$3:$A$217,0),"yes","x"),"no")</f>
        <v>no</v>
      </c>
      <c r="B374" s="516" t="s">
        <v>813</v>
      </c>
      <c r="C374" s="535" t="s">
        <v>545</v>
      </c>
      <c r="D374" s="543" t="s">
        <v>543</v>
      </c>
      <c r="E374" s="544" t="s">
        <v>696</v>
      </c>
      <c r="F374" s="544" t="s">
        <v>546</v>
      </c>
      <c r="G374" s="813" t="s">
        <v>558</v>
      </c>
      <c r="H374" s="523"/>
      <c r="I374" s="527">
        <v>2040</v>
      </c>
      <c r="J374" s="617" t="s">
        <v>1408</v>
      </c>
      <c r="K374" s="853" t="s">
        <v>558</v>
      </c>
    </row>
    <row r="375" spans="1:14" hidden="1" outlineLevel="1" x14ac:dyDescent="0.25">
      <c r="A375" s="534" t="str">
        <f>IFERROR(IF(MATCH($B$370&amp;"-"&amp;$B375,'Protocol reference (numerical)'!$A$3:$A$217,0),"yes","x"),"no")</f>
        <v>no</v>
      </c>
      <c r="B375" s="516" t="s">
        <v>867</v>
      </c>
      <c r="C375" s="535" t="s">
        <v>548</v>
      </c>
      <c r="D375" s="543" t="s">
        <v>543</v>
      </c>
      <c r="E375" s="544" t="s">
        <v>696</v>
      </c>
      <c r="F375" s="544" t="s">
        <v>549</v>
      </c>
      <c r="G375" s="813" t="s">
        <v>559</v>
      </c>
      <c r="H375" s="523"/>
      <c r="I375" s="527">
        <v>2040</v>
      </c>
      <c r="J375" s="617" t="s">
        <v>1408</v>
      </c>
      <c r="K375" s="853" t="s">
        <v>559</v>
      </c>
    </row>
    <row r="376" spans="1:14" hidden="1" outlineLevel="1" x14ac:dyDescent="0.25">
      <c r="A376" s="534" t="str">
        <f>IFERROR(IF(MATCH($B$370&amp;"-"&amp;$B376,'Protocol reference (numerical)'!$A$3:$A$217,0),"yes","x"),"no")</f>
        <v>no</v>
      </c>
      <c r="B376" s="516" t="s">
        <v>871</v>
      </c>
      <c r="C376" s="535" t="s">
        <v>551</v>
      </c>
      <c r="D376" s="543" t="s">
        <v>543</v>
      </c>
      <c r="E376" s="544" t="s">
        <v>696</v>
      </c>
      <c r="F376" s="544" t="s">
        <v>552</v>
      </c>
      <c r="G376" s="813" t="s">
        <v>560</v>
      </c>
      <c r="H376" s="523"/>
      <c r="I376" s="527">
        <v>2040</v>
      </c>
      <c r="J376" s="617" t="s">
        <v>1408</v>
      </c>
      <c r="K376" s="853" t="s">
        <v>560</v>
      </c>
    </row>
    <row r="377" spans="1:14" s="533" customFormat="1" hidden="1" outlineLevel="1" x14ac:dyDescent="0.25">
      <c r="A377" s="534" t="str">
        <f>IFERROR(IF(MATCH($B$370&amp;"-"&amp;$B377,'Protocol reference (numerical)'!$A$3:$A$217,0),"yes","x"),"no")</f>
        <v>no</v>
      </c>
      <c r="B377" s="1192">
        <v>2</v>
      </c>
      <c r="C377" s="545" t="s">
        <v>539</v>
      </c>
      <c r="D377" s="546" t="s">
        <v>540</v>
      </c>
      <c r="E377" s="547" t="s">
        <v>784</v>
      </c>
      <c r="F377" s="547" t="s">
        <v>541</v>
      </c>
      <c r="G377" s="917" t="s">
        <v>556</v>
      </c>
      <c r="H377" s="430">
        <v>2014</v>
      </c>
      <c r="I377" s="885">
        <v>2019</v>
      </c>
      <c r="J377" s="617"/>
      <c r="K377" s="626"/>
      <c r="L377" s="791"/>
      <c r="M377" s="791"/>
      <c r="N377" s="669"/>
    </row>
    <row r="378" spans="1:14" hidden="1" outlineLevel="1" x14ac:dyDescent="0.25">
      <c r="A378" s="534" t="str">
        <f>IFERROR(IF(MATCH($B$370&amp;"-"&amp;$B378,'Protocol reference (numerical)'!$A$3:$A$217,0),"yes","x"),"no")</f>
        <v>no</v>
      </c>
      <c r="B378" s="528">
        <v>4</v>
      </c>
      <c r="C378" s="554" t="s">
        <v>553</v>
      </c>
      <c r="D378" s="552" t="s">
        <v>554</v>
      </c>
      <c r="E378" s="551" t="s">
        <v>784</v>
      </c>
      <c r="F378" s="551" t="s">
        <v>1310</v>
      </c>
      <c r="G378" s="918">
        <v>0.3</v>
      </c>
      <c r="H378" s="378">
        <v>2005</v>
      </c>
      <c r="I378" s="874">
        <v>2030</v>
      </c>
      <c r="J378" s="620"/>
      <c r="K378" s="839"/>
      <c r="L378" s="791" t="s">
        <v>2252</v>
      </c>
    </row>
    <row r="379" spans="1:14" collapsed="1" x14ac:dyDescent="0.25">
      <c r="B379" s="531"/>
      <c r="C379" s="521"/>
      <c r="D379" s="532"/>
      <c r="E379" s="521"/>
      <c r="F379" s="521"/>
      <c r="G379" s="838"/>
      <c r="H379" s="870"/>
      <c r="I379" s="870"/>
      <c r="J379" s="521"/>
      <c r="K379" s="838"/>
    </row>
    <row r="380" spans="1:14" ht="23.25" x14ac:dyDescent="0.35">
      <c r="B380" s="286" t="s">
        <v>19</v>
      </c>
      <c r="C380" s="16" t="s">
        <v>334</v>
      </c>
      <c r="D380" s="16" t="s">
        <v>335</v>
      </c>
      <c r="E380" s="40" t="s">
        <v>336</v>
      </c>
      <c r="F380" s="16" t="s">
        <v>1419</v>
      </c>
      <c r="G380" s="858" t="s">
        <v>337</v>
      </c>
      <c r="H380" s="858" t="s">
        <v>2</v>
      </c>
      <c r="I380" s="833" t="s">
        <v>338</v>
      </c>
      <c r="J380" s="29" t="s">
        <v>1418</v>
      </c>
      <c r="K380" s="833" t="s">
        <v>2201</v>
      </c>
      <c r="L380" s="798" t="s">
        <v>690</v>
      </c>
    </row>
    <row r="381" spans="1:14" s="534" customFormat="1" ht="105" hidden="1" outlineLevel="1" x14ac:dyDescent="0.25">
      <c r="A381" s="534" t="str">
        <f>IFERROR(IF(MATCH($B$380&amp;"-"&amp;$B381,'Protocol reference (numerical)'!$A$3:$A$217,0),"yes","x"),"no")</f>
        <v>no</v>
      </c>
      <c r="B381" s="1194">
        <v>0</v>
      </c>
      <c r="C381" s="576" t="s">
        <v>2514</v>
      </c>
      <c r="D381" s="584" t="s">
        <v>2533</v>
      </c>
      <c r="E381" s="577" t="s">
        <v>784</v>
      </c>
      <c r="F381" s="576" t="s">
        <v>339</v>
      </c>
      <c r="G381" s="578" t="s">
        <v>1861</v>
      </c>
      <c r="H381" s="578" t="s">
        <v>374</v>
      </c>
      <c r="I381" s="579" t="s">
        <v>1862</v>
      </c>
      <c r="J381" s="646"/>
      <c r="K381" s="646"/>
      <c r="L381" s="97" t="s">
        <v>2539</v>
      </c>
      <c r="M381" s="97"/>
      <c r="N381" s="90"/>
    </row>
    <row r="382" spans="1:14" s="534" customFormat="1" ht="30" hidden="1" outlineLevel="1" x14ac:dyDescent="0.25">
      <c r="A382" s="534" t="str">
        <f>IFERROR(IF(MATCH($B$380&amp;"-"&amp;$B382,'Protocol reference (numerical)'!$A$3:$A$217,0),"yes","x"),"no")</f>
        <v>no</v>
      </c>
      <c r="B382" s="1195"/>
      <c r="C382" s="567"/>
      <c r="D382" s="568"/>
      <c r="E382" s="569"/>
      <c r="F382" s="567"/>
      <c r="G382" s="570" t="s">
        <v>1863</v>
      </c>
      <c r="H382" s="570"/>
      <c r="I382" s="571"/>
      <c r="J382" s="647"/>
      <c r="K382" s="647"/>
      <c r="L382" s="97"/>
      <c r="M382" s="97"/>
      <c r="N382" s="90"/>
    </row>
    <row r="383" spans="1:14" s="534" customFormat="1" hidden="1" outlineLevel="1" x14ac:dyDescent="0.25">
      <c r="A383" s="534" t="str">
        <f>IFERROR(IF(MATCH($B$380&amp;"-"&amp;$B383,'Protocol reference (numerical)'!$A$3:$A$217,0),"yes","x"),"no")</f>
        <v>no</v>
      </c>
      <c r="B383" s="1196"/>
      <c r="C383" s="500"/>
      <c r="D383" s="572"/>
      <c r="E383" s="573"/>
      <c r="F383" s="500"/>
      <c r="G383" s="574" t="s">
        <v>1864</v>
      </c>
      <c r="H383" s="574"/>
      <c r="I383" s="575"/>
      <c r="J383" s="647"/>
      <c r="K383" s="647"/>
      <c r="L383" s="97"/>
      <c r="M383" s="97"/>
      <c r="N383" s="90"/>
    </row>
    <row r="384" spans="1:14" s="534" customFormat="1" ht="30" hidden="1" outlineLevel="1" x14ac:dyDescent="0.25">
      <c r="A384" s="534" t="str">
        <f>IFERROR(IF(MATCH($B$380&amp;"-"&amp;$B384,'Protocol reference (numerical)'!$A$3:$A$217,0),"yes","x"),"no")</f>
        <v>no</v>
      </c>
      <c r="B384" s="1196"/>
      <c r="C384" s="500"/>
      <c r="D384" s="572"/>
      <c r="E384" s="573"/>
      <c r="F384" s="500"/>
      <c r="G384" s="574" t="s">
        <v>1865</v>
      </c>
      <c r="H384" s="574"/>
      <c r="I384" s="575"/>
      <c r="J384" s="647"/>
      <c r="K384" s="647"/>
      <c r="L384" s="97"/>
      <c r="M384" s="97"/>
      <c r="N384" s="90"/>
    </row>
    <row r="385" spans="1:14" s="534" customFormat="1" ht="30" hidden="1" outlineLevel="1" x14ac:dyDescent="0.25">
      <c r="A385" s="534" t="str">
        <f>IFERROR(IF(MATCH($B$380&amp;"-"&amp;$B385,'Protocol reference (numerical)'!$A$3:$A$217,0),"yes","x"),"no")</f>
        <v>no</v>
      </c>
      <c r="B385" s="1196"/>
      <c r="C385" s="500"/>
      <c r="D385" s="572"/>
      <c r="E385" s="573"/>
      <c r="F385" s="500"/>
      <c r="G385" s="574" t="s">
        <v>1866</v>
      </c>
      <c r="H385" s="574"/>
      <c r="I385" s="575"/>
      <c r="J385" s="647"/>
      <c r="K385" s="647"/>
      <c r="L385" s="97"/>
      <c r="M385" s="97"/>
      <c r="N385" s="90"/>
    </row>
    <row r="386" spans="1:14" ht="45" hidden="1" outlineLevel="1" x14ac:dyDescent="0.25">
      <c r="A386" s="534" t="str">
        <f>IFERROR(IF(MATCH($B$380&amp;"-"&amp;$B386,'Protocol reference (numerical)'!$A$3:$A$217,0),"yes","x"),"no")</f>
        <v>yes</v>
      </c>
      <c r="B386" s="1197" t="s">
        <v>3</v>
      </c>
      <c r="C386" s="54" t="s">
        <v>440</v>
      </c>
      <c r="D386" s="935" t="s">
        <v>441</v>
      </c>
      <c r="E386" s="94" t="s">
        <v>696</v>
      </c>
      <c r="F386" s="9" t="s">
        <v>442</v>
      </c>
      <c r="G386" s="58" t="s">
        <v>443</v>
      </c>
      <c r="H386" s="58"/>
      <c r="I386" s="57">
        <v>2030</v>
      </c>
      <c r="J386" s="630" t="s">
        <v>1416</v>
      </c>
      <c r="K386" s="626" t="s">
        <v>443</v>
      </c>
      <c r="L386" s="97" t="s">
        <v>2258</v>
      </c>
      <c r="M386" s="97"/>
      <c r="N386" s="90"/>
    </row>
    <row r="387" spans="1:14" ht="60" hidden="1" outlineLevel="1" x14ac:dyDescent="0.25">
      <c r="A387" s="534" t="str">
        <f>IFERROR(IF(MATCH($B$380&amp;"-"&amp;$B387,'Protocol reference (numerical)'!$A$3:$A$217,0),"yes","x"),"no")</f>
        <v>no</v>
      </c>
      <c r="B387" s="1197" t="s">
        <v>700</v>
      </c>
      <c r="C387" s="54"/>
      <c r="D387" s="935" t="s">
        <v>441</v>
      </c>
      <c r="E387" s="94" t="s">
        <v>696</v>
      </c>
      <c r="F387" s="54" t="s">
        <v>444</v>
      </c>
      <c r="G387" s="140" t="s">
        <v>2270</v>
      </c>
      <c r="H387" s="137">
        <v>2010</v>
      </c>
      <c r="I387" s="138">
        <v>2030</v>
      </c>
      <c r="J387" s="648" t="s">
        <v>1420</v>
      </c>
      <c r="K387" s="648"/>
      <c r="L387" s="97" t="s">
        <v>1311</v>
      </c>
      <c r="M387" s="97" t="s">
        <v>1312</v>
      </c>
      <c r="N387" s="90"/>
    </row>
    <row r="388" spans="1:14" hidden="1" outlineLevel="1" x14ac:dyDescent="0.25">
      <c r="A388" s="534" t="str">
        <f>IFERROR(IF(MATCH($B$380&amp;"-"&amp;$B388,'Protocol reference (numerical)'!$A$3:$A$217,0),"yes","x"),"no")</f>
        <v>yes</v>
      </c>
      <c r="B388" s="1197" t="s">
        <v>802</v>
      </c>
      <c r="C388" s="54"/>
      <c r="D388" s="935" t="s">
        <v>441</v>
      </c>
      <c r="E388" s="94" t="s">
        <v>696</v>
      </c>
      <c r="F388" s="54" t="s">
        <v>1313</v>
      </c>
      <c r="G388" s="140" t="s">
        <v>1314</v>
      </c>
      <c r="H388" s="58">
        <v>2010</v>
      </c>
      <c r="I388" s="57">
        <v>2030</v>
      </c>
      <c r="J388" s="626" t="s">
        <v>1408</v>
      </c>
      <c r="K388" s="626">
        <v>9.1999999999999993</v>
      </c>
      <c r="L388" s="97" t="s">
        <v>1315</v>
      </c>
      <c r="M388" s="97"/>
      <c r="N388" s="90"/>
    </row>
    <row r="389" spans="1:14" hidden="1" outlineLevel="1" x14ac:dyDescent="0.25">
      <c r="A389" s="534" t="str">
        <f>IFERROR(IF(MATCH($B$380&amp;"-"&amp;$B389,'Protocol reference (numerical)'!$A$3:$A$217,0),"yes","x"),"no")</f>
        <v>yes</v>
      </c>
      <c r="B389" s="1197" t="s">
        <v>836</v>
      </c>
      <c r="C389" s="54"/>
      <c r="D389" s="935" t="s">
        <v>441</v>
      </c>
      <c r="E389" s="94" t="s">
        <v>696</v>
      </c>
      <c r="F389" s="54" t="s">
        <v>446</v>
      </c>
      <c r="G389" s="140" t="s">
        <v>1316</v>
      </c>
      <c r="H389" s="58">
        <v>2010</v>
      </c>
      <c r="I389" s="57">
        <v>2030</v>
      </c>
      <c r="J389" s="626" t="s">
        <v>1408</v>
      </c>
      <c r="K389" s="626">
        <v>1</v>
      </c>
      <c r="L389" s="97" t="s">
        <v>1317</v>
      </c>
      <c r="M389" s="97"/>
      <c r="N389" s="90"/>
    </row>
    <row r="390" spans="1:14" hidden="1" outlineLevel="1" x14ac:dyDescent="0.25">
      <c r="A390" s="534" t="str">
        <f>IFERROR(IF(MATCH($B$380&amp;"-"&amp;$B390,'Protocol reference (numerical)'!$A$3:$A$217,0),"yes","x"),"no")</f>
        <v>yes</v>
      </c>
      <c r="B390" s="1197" t="s">
        <v>2508</v>
      </c>
      <c r="C390" s="54"/>
      <c r="D390" s="55"/>
      <c r="E390" s="94"/>
      <c r="F390" s="54" t="s">
        <v>1318</v>
      </c>
      <c r="G390" s="140" t="s">
        <v>1319</v>
      </c>
      <c r="H390" s="58">
        <v>2010</v>
      </c>
      <c r="I390" s="57">
        <v>2030</v>
      </c>
      <c r="J390" s="626" t="s">
        <v>1408</v>
      </c>
      <c r="K390" s="626">
        <v>8.4</v>
      </c>
      <c r="L390" s="97" t="s">
        <v>1317</v>
      </c>
      <c r="M390" s="97"/>
      <c r="N390" s="90"/>
    </row>
    <row r="391" spans="1:14" ht="60" hidden="1" outlineLevel="1" x14ac:dyDescent="0.25">
      <c r="A391" s="534" t="str">
        <f>IFERROR(IF(MATCH($B$380&amp;"-"&amp;$B391,'Protocol reference (numerical)'!$A$3:$A$217,0),"yes","x"),"no")</f>
        <v>no</v>
      </c>
      <c r="B391" s="1197" t="s">
        <v>1415</v>
      </c>
      <c r="C391" s="54"/>
      <c r="D391" s="55"/>
      <c r="E391" s="94" t="s">
        <v>784</v>
      </c>
      <c r="F391" s="54" t="s">
        <v>1320</v>
      </c>
      <c r="G391" s="140" t="s">
        <v>1321</v>
      </c>
      <c r="H391" s="58">
        <v>2010</v>
      </c>
      <c r="I391" s="57">
        <v>2030</v>
      </c>
      <c r="J391" s="626" t="s">
        <v>1408</v>
      </c>
      <c r="K391" s="626">
        <v>11.4</v>
      </c>
      <c r="L391" s="97" t="s">
        <v>1322</v>
      </c>
      <c r="M391" s="97" t="s">
        <v>1323</v>
      </c>
      <c r="N391" s="90"/>
    </row>
    <row r="392" spans="1:14" ht="30" hidden="1" outlineLevel="1" x14ac:dyDescent="0.25">
      <c r="A392" s="534" t="str">
        <f>IFERROR(IF(MATCH($B$380&amp;"-"&amp;$B392,'Protocol reference (numerical)'!$A$3:$A$217,0),"yes","x"),"no")</f>
        <v>no</v>
      </c>
      <c r="B392" s="1197" t="s">
        <v>396</v>
      </c>
      <c r="C392" s="54" t="s">
        <v>451</v>
      </c>
      <c r="D392" s="935" t="s">
        <v>452</v>
      </c>
      <c r="E392" s="41" t="s">
        <v>696</v>
      </c>
      <c r="F392" s="54"/>
      <c r="G392" s="139"/>
      <c r="H392" s="58"/>
      <c r="I392" s="57"/>
      <c r="J392" s="626" t="s">
        <v>1416</v>
      </c>
      <c r="K392" s="626"/>
      <c r="L392" s="97" t="s">
        <v>1324</v>
      </c>
      <c r="M392" s="97"/>
      <c r="N392" s="90"/>
    </row>
    <row r="393" spans="1:14" ht="45" hidden="1" outlineLevel="1" x14ac:dyDescent="0.25">
      <c r="A393" s="534" t="str">
        <f>IFERROR(IF(MATCH($B$380&amp;"-"&amp;$B393,'Protocol reference (numerical)'!$A$3:$A$217,0),"yes","x"),"no")</f>
        <v>yes</v>
      </c>
      <c r="B393" s="1197">
        <v>4</v>
      </c>
      <c r="C393" s="54" t="s">
        <v>454</v>
      </c>
      <c r="D393" s="935" t="s">
        <v>455</v>
      </c>
      <c r="E393" s="63" t="s">
        <v>696</v>
      </c>
      <c r="F393" s="54" t="s">
        <v>1325</v>
      </c>
      <c r="G393" s="139" t="s">
        <v>1326</v>
      </c>
      <c r="H393" s="58">
        <v>2015</v>
      </c>
      <c r="I393" s="57"/>
      <c r="J393" s="626" t="s">
        <v>1420</v>
      </c>
      <c r="K393" s="626"/>
      <c r="L393" s="791" t="s">
        <v>2259</v>
      </c>
      <c r="M393" s="97"/>
      <c r="N393" s="90"/>
    </row>
    <row r="394" spans="1:14" hidden="1" outlineLevel="1" x14ac:dyDescent="0.25">
      <c r="A394" s="534" t="str">
        <f>IFERROR(IF(MATCH($B$380&amp;"-"&amp;$B394,'Protocol reference (numerical)'!$A$3:$A$217,0),"yes","x"),"no")</f>
        <v>no</v>
      </c>
      <c r="B394" s="1197"/>
      <c r="C394" s="135"/>
      <c r="D394" s="935"/>
      <c r="E394" s="63"/>
      <c r="F394" s="54" t="s">
        <v>431</v>
      </c>
      <c r="G394" s="139" t="s">
        <v>1327</v>
      </c>
      <c r="H394" s="58">
        <v>2015</v>
      </c>
      <c r="I394" s="57"/>
      <c r="J394" s="626" t="s">
        <v>1464</v>
      </c>
      <c r="K394" s="626">
        <v>5</v>
      </c>
      <c r="L394" s="97"/>
      <c r="M394" s="97"/>
      <c r="N394" s="90"/>
    </row>
    <row r="395" spans="1:14" ht="45" hidden="1" outlineLevel="1" x14ac:dyDescent="0.25">
      <c r="A395" s="534" t="str">
        <f>IFERROR(IF(MATCH($B$380&amp;"-"&amp;$B395,'Protocol reference (numerical)'!$A$3:$A$217,0),"yes","x"),"no")</f>
        <v>no</v>
      </c>
      <c r="B395" s="1197">
        <v>3</v>
      </c>
      <c r="C395" s="54" t="s">
        <v>453</v>
      </c>
      <c r="D395" s="935" t="s">
        <v>450</v>
      </c>
      <c r="E395" s="94" t="s">
        <v>784</v>
      </c>
      <c r="F395" s="9" t="s">
        <v>363</v>
      </c>
      <c r="G395" s="58">
        <v>0</v>
      </c>
      <c r="H395" s="58"/>
      <c r="I395" s="559">
        <v>2030</v>
      </c>
      <c r="J395" s="651" t="s">
        <v>784</v>
      </c>
      <c r="K395" s="651">
        <v>0</v>
      </c>
      <c r="L395" s="97" t="s">
        <v>2253</v>
      </c>
      <c r="M395" s="97"/>
      <c r="N395" s="90"/>
    </row>
    <row r="396" spans="1:14" ht="45" hidden="1" outlineLevel="1" x14ac:dyDescent="0.25">
      <c r="A396" s="534" t="str">
        <f>IFERROR(IF(MATCH($B$380&amp;"-"&amp;$B396,'Protocol reference (numerical)'!$A$3:$A$217,0),"yes","x"),"no")</f>
        <v>no</v>
      </c>
      <c r="B396" s="1197">
        <v>5</v>
      </c>
      <c r="C396" s="9" t="s">
        <v>457</v>
      </c>
      <c r="D396" s="935" t="s">
        <v>458</v>
      </c>
      <c r="E396" s="94" t="s">
        <v>696</v>
      </c>
      <c r="F396" s="54" t="s">
        <v>459</v>
      </c>
      <c r="G396" s="140" t="s">
        <v>460</v>
      </c>
      <c r="H396" s="58"/>
      <c r="I396" s="57"/>
      <c r="J396" s="630" t="s">
        <v>1420</v>
      </c>
      <c r="K396" s="630">
        <v>720</v>
      </c>
      <c r="L396" s="791" t="s">
        <v>1518</v>
      </c>
      <c r="M396" s="97" t="s">
        <v>2254</v>
      </c>
      <c r="N396" s="90"/>
    </row>
    <row r="397" spans="1:14" hidden="1" outlineLevel="1" x14ac:dyDescent="0.25">
      <c r="A397" s="534" t="str">
        <f>IFERROR(IF(MATCH($B$380&amp;"-"&amp;$B397,'Protocol reference (numerical)'!$A$3:$A$217,0),"yes","x"),"no")</f>
        <v>no</v>
      </c>
      <c r="B397" s="1197">
        <v>6</v>
      </c>
      <c r="C397" s="9" t="s">
        <v>461</v>
      </c>
      <c r="D397" s="935" t="s">
        <v>462</v>
      </c>
      <c r="E397" s="94" t="s">
        <v>784</v>
      </c>
      <c r="F397" s="9" t="s">
        <v>463</v>
      </c>
      <c r="G397" s="58" t="s">
        <v>464</v>
      </c>
      <c r="H397" s="58"/>
      <c r="I397" s="57" t="s">
        <v>465</v>
      </c>
      <c r="J397" s="630" t="s">
        <v>784</v>
      </c>
      <c r="K397" s="630" t="s">
        <v>1673</v>
      </c>
      <c r="L397" s="791" t="s">
        <v>1520</v>
      </c>
      <c r="M397" s="97"/>
      <c r="N397" s="90"/>
    </row>
    <row r="398" spans="1:14" ht="30" hidden="1" outlineLevel="1" x14ac:dyDescent="0.25">
      <c r="A398" s="534" t="str">
        <f>IFERROR(IF(MATCH($B$380&amp;"-"&amp;$B398,'Protocol reference (numerical)'!$A$3:$A$217,0),"yes","x"),"no")</f>
        <v>no</v>
      </c>
      <c r="B398" s="1197" t="s">
        <v>700</v>
      </c>
      <c r="C398" s="54" t="s">
        <v>447</v>
      </c>
      <c r="D398" s="935" t="s">
        <v>441</v>
      </c>
      <c r="E398" s="94" t="s">
        <v>784</v>
      </c>
      <c r="F398" s="9" t="s">
        <v>448</v>
      </c>
      <c r="G398" s="56">
        <v>0.5</v>
      </c>
      <c r="H398" s="58"/>
      <c r="I398" s="57">
        <v>2030</v>
      </c>
      <c r="J398" s="630" t="s">
        <v>1416</v>
      </c>
      <c r="K398" s="630"/>
      <c r="L398" s="804"/>
      <c r="M398" s="97"/>
      <c r="N398" s="90"/>
    </row>
    <row r="399" spans="1:14" ht="30" hidden="1" outlineLevel="1" x14ac:dyDescent="0.25">
      <c r="A399" s="534" t="str">
        <f>IFERROR(IF(MATCH($B$380&amp;"-"&amp;$B399,'Protocol reference (numerical)'!$A$3:$A$217,0),"yes","x"),"no")</f>
        <v>yes</v>
      </c>
      <c r="B399" s="1198" t="s">
        <v>802</v>
      </c>
      <c r="C399" s="141" t="s">
        <v>449</v>
      </c>
      <c r="D399" s="935" t="s">
        <v>450</v>
      </c>
      <c r="E399" s="142" t="s">
        <v>784</v>
      </c>
      <c r="F399" s="42" t="s">
        <v>1328</v>
      </c>
      <c r="G399" s="143">
        <v>600</v>
      </c>
      <c r="H399" s="144"/>
      <c r="I399" s="145">
        <v>2030</v>
      </c>
      <c r="J399" s="630" t="s">
        <v>784</v>
      </c>
      <c r="K399" s="630"/>
      <c r="L399" s="804"/>
      <c r="M399" s="97"/>
      <c r="N399" s="90"/>
    </row>
    <row r="400" spans="1:14" hidden="1" outlineLevel="1" x14ac:dyDescent="0.25">
      <c r="A400" s="534" t="str">
        <f>IFERROR(IF(MATCH($B$380&amp;"-"&amp;$B400,'Protocol reference (numerical)'!$A$3:$A$217,0),"yes","x"),"no")</f>
        <v>no</v>
      </c>
      <c r="B400" s="1214">
        <v>7</v>
      </c>
      <c r="C400" s="652" t="s">
        <v>1329</v>
      </c>
      <c r="D400" s="936"/>
      <c r="E400" s="655" t="s">
        <v>696</v>
      </c>
      <c r="F400" s="656" t="s">
        <v>1330</v>
      </c>
      <c r="G400" s="653" t="s">
        <v>1331</v>
      </c>
      <c r="H400" s="653">
        <v>2010</v>
      </c>
      <c r="I400" s="654" t="s">
        <v>1332</v>
      </c>
      <c r="J400" s="684" t="s">
        <v>1420</v>
      </c>
      <c r="K400" s="650"/>
      <c r="L400" s="97" t="s">
        <v>1519</v>
      </c>
      <c r="M400" s="97"/>
      <c r="N400" s="90"/>
    </row>
    <row r="401" spans="1:14" collapsed="1" x14ac:dyDescent="0.25">
      <c r="B401" s="146"/>
      <c r="C401" s="147"/>
      <c r="D401" s="147"/>
      <c r="E401" s="148"/>
      <c r="F401" s="147"/>
      <c r="G401" s="60"/>
      <c r="H401" s="60"/>
      <c r="I401" s="60"/>
      <c r="J401" s="60"/>
      <c r="K401" s="60"/>
    </row>
    <row r="402" spans="1:14" ht="23.25" x14ac:dyDescent="0.35">
      <c r="B402" s="286" t="s">
        <v>21</v>
      </c>
      <c r="C402" s="16" t="s">
        <v>334</v>
      </c>
      <c r="D402" s="16" t="s">
        <v>335</v>
      </c>
      <c r="E402" s="40" t="s">
        <v>336</v>
      </c>
      <c r="F402" s="16" t="s">
        <v>1419</v>
      </c>
      <c r="G402" s="858" t="s">
        <v>337</v>
      </c>
      <c r="H402" s="858" t="s">
        <v>2</v>
      </c>
      <c r="I402" s="858" t="s">
        <v>338</v>
      </c>
      <c r="J402" s="15" t="s">
        <v>1418</v>
      </c>
      <c r="K402" s="833" t="s">
        <v>2201</v>
      </c>
      <c r="L402" s="798" t="s">
        <v>690</v>
      </c>
      <c r="M402" s="97"/>
    </row>
    <row r="403" spans="1:14" s="534" customFormat="1" hidden="1" outlineLevel="1" x14ac:dyDescent="0.25">
      <c r="A403" s="534" t="str">
        <f>IFERROR(IF(MATCH($B$402&amp;"-"&amp;$B403,'Protocol reference (numerical)'!$A$3:$A$217,0),"yes","x"),"no")</f>
        <v>no</v>
      </c>
      <c r="B403" s="1199" t="s">
        <v>1743</v>
      </c>
      <c r="C403" s="541" t="s">
        <v>2514</v>
      </c>
      <c r="D403" s="937" t="s">
        <v>2534</v>
      </c>
      <c r="E403" s="563" t="s">
        <v>784</v>
      </c>
      <c r="F403" s="541" t="s">
        <v>339</v>
      </c>
      <c r="G403" s="564" t="s">
        <v>1859</v>
      </c>
      <c r="H403" s="564" t="s">
        <v>374</v>
      </c>
      <c r="I403" s="565">
        <v>2030</v>
      </c>
      <c r="J403" s="606"/>
      <c r="K403" s="606"/>
      <c r="L403" s="97" t="s">
        <v>1860</v>
      </c>
      <c r="M403" s="97"/>
      <c r="N403" s="669"/>
    </row>
    <row r="404" spans="1:14" ht="90" hidden="1" outlineLevel="1" x14ac:dyDescent="0.25">
      <c r="A404" s="534" t="str">
        <f>IFERROR(IF(MATCH($B$402&amp;"-"&amp;$B404,'Protocol reference (numerical)'!$A$3:$A$217,0),"yes","x"),"no")</f>
        <v>yes</v>
      </c>
      <c r="B404" s="1205">
        <v>2</v>
      </c>
      <c r="C404" s="46" t="s">
        <v>474</v>
      </c>
      <c r="D404" s="938" t="s">
        <v>475</v>
      </c>
      <c r="E404" s="150" t="s">
        <v>696</v>
      </c>
      <c r="F404" s="46" t="s">
        <v>476</v>
      </c>
      <c r="G404" s="51">
        <v>0.3</v>
      </c>
      <c r="H404" s="52"/>
      <c r="I404" s="53">
        <v>2023</v>
      </c>
      <c r="J404" s="626" t="s">
        <v>1405</v>
      </c>
      <c r="K404" s="628">
        <v>0.3</v>
      </c>
      <c r="L404" s="97" t="s">
        <v>1333</v>
      </c>
      <c r="M404" s="97"/>
    </row>
    <row r="405" spans="1:14" s="534" customFormat="1" ht="60" hidden="1" outlineLevel="1" x14ac:dyDescent="0.25">
      <c r="A405" s="534" t="str">
        <f>IFERROR(IF(MATCH($B$402&amp;"-"&amp;$B405,'Protocol reference (numerical)'!$A$3:$A$217,0),"yes","x"),"no")</f>
        <v>no</v>
      </c>
      <c r="B405" s="1200" t="s">
        <v>34</v>
      </c>
      <c r="C405" s="548" t="s">
        <v>1848</v>
      </c>
      <c r="D405" s="938" t="s">
        <v>1849</v>
      </c>
      <c r="E405" s="150" t="s">
        <v>696</v>
      </c>
      <c r="F405" s="548" t="s">
        <v>1850</v>
      </c>
      <c r="G405" s="556" t="s">
        <v>1852</v>
      </c>
      <c r="H405" s="52"/>
      <c r="I405" s="53" t="s">
        <v>1851</v>
      </c>
      <c r="J405" s="626" t="s">
        <v>1416</v>
      </c>
      <c r="K405" s="628"/>
      <c r="L405" s="97" t="s">
        <v>1853</v>
      </c>
      <c r="M405" s="97"/>
      <c r="N405" s="669"/>
    </row>
    <row r="406" spans="1:14" ht="105" hidden="1" outlineLevel="1" x14ac:dyDescent="0.25">
      <c r="A406" s="534" t="str">
        <f>IFERROR(IF(MATCH($B$402&amp;"-"&amp;$B406,'Protocol reference (numerical)'!$A$3:$A$217,0),"yes","x"),"no")</f>
        <v>no</v>
      </c>
      <c r="B406" s="1193" t="s">
        <v>33</v>
      </c>
      <c r="C406" s="54" t="s">
        <v>492</v>
      </c>
      <c r="D406" s="935" t="s">
        <v>1334</v>
      </c>
      <c r="E406" s="94" t="s">
        <v>696</v>
      </c>
      <c r="F406" s="54"/>
      <c r="G406" s="560"/>
      <c r="H406" s="140"/>
      <c r="I406" s="151"/>
      <c r="J406" s="630" t="s">
        <v>1420</v>
      </c>
      <c r="K406" s="630"/>
      <c r="L406" s="97" t="s">
        <v>1335</v>
      </c>
      <c r="M406" s="97"/>
    </row>
    <row r="407" spans="1:14" hidden="1" outlineLevel="1" x14ac:dyDescent="0.25">
      <c r="A407" s="534" t="str">
        <f>IFERROR(IF(MATCH($B$402&amp;"-"&amp;$B407,'Protocol reference (numerical)'!$A$3:$A$217,0),"yes","x"),"no")</f>
        <v>no</v>
      </c>
      <c r="B407" s="1193" t="s">
        <v>561</v>
      </c>
      <c r="C407" s="9"/>
      <c r="D407" s="935" t="s">
        <v>496</v>
      </c>
      <c r="E407" s="94" t="s">
        <v>696</v>
      </c>
      <c r="F407" s="54"/>
      <c r="G407" s="59"/>
      <c r="H407" s="140"/>
      <c r="I407" s="151"/>
      <c r="J407" s="630" t="s">
        <v>1420</v>
      </c>
      <c r="K407" s="630"/>
      <c r="L407" s="97"/>
      <c r="M407" s="97"/>
    </row>
    <row r="408" spans="1:14" hidden="1" outlineLevel="1" x14ac:dyDescent="0.25">
      <c r="A408" s="534" t="str">
        <f>IFERROR(IF(MATCH($B$402&amp;"-"&amp;$B408,'Protocol reference (numerical)'!$A$3:$A$217,0),"yes","x"),"no")</f>
        <v>yes</v>
      </c>
      <c r="B408" s="1193" t="s">
        <v>1747</v>
      </c>
      <c r="C408" s="9" t="s">
        <v>2516</v>
      </c>
      <c r="D408" s="935" t="s">
        <v>2535</v>
      </c>
      <c r="E408" s="94" t="s">
        <v>784</v>
      </c>
      <c r="F408" s="9" t="s">
        <v>466</v>
      </c>
      <c r="G408" s="140" t="s">
        <v>467</v>
      </c>
      <c r="H408" s="140"/>
      <c r="I408" s="151">
        <v>2030</v>
      </c>
      <c r="J408" s="630" t="s">
        <v>1408</v>
      </c>
      <c r="K408" s="630">
        <v>10</v>
      </c>
      <c r="L408" s="673" t="s">
        <v>1336</v>
      </c>
      <c r="M408" s="673"/>
    </row>
    <row r="409" spans="1:14" hidden="1" outlineLevel="1" x14ac:dyDescent="0.25">
      <c r="A409" s="534" t="str">
        <f>IFERROR(IF(MATCH($B$402&amp;"-"&amp;$B409,'Protocol reference (numerical)'!$A$3:$A$217,0),"yes","x"),"no")</f>
        <v>yes</v>
      </c>
      <c r="B409" s="1193" t="s">
        <v>1822</v>
      </c>
      <c r="C409" s="9" t="s">
        <v>2516</v>
      </c>
      <c r="D409" s="935" t="s">
        <v>2535</v>
      </c>
      <c r="E409" s="94" t="s">
        <v>784</v>
      </c>
      <c r="F409" s="9" t="s">
        <v>468</v>
      </c>
      <c r="G409" s="140" t="s">
        <v>469</v>
      </c>
      <c r="H409" s="140"/>
      <c r="I409" s="151">
        <v>2030</v>
      </c>
      <c r="J409" s="630" t="s">
        <v>1408</v>
      </c>
      <c r="K409" s="630">
        <v>16</v>
      </c>
      <c r="L409" s="97"/>
      <c r="M409" s="97"/>
    </row>
    <row r="410" spans="1:14" ht="30" hidden="1" outlineLevel="1" x14ac:dyDescent="0.25">
      <c r="A410" s="534" t="str">
        <f>IFERROR(IF(MATCH($B$402&amp;"-"&amp;$B410,'Protocol reference (numerical)'!$A$3:$A$217,0),"yes","x"),"no")</f>
        <v>no</v>
      </c>
      <c r="B410" s="1193" t="s">
        <v>1771</v>
      </c>
      <c r="C410" s="9" t="s">
        <v>2516</v>
      </c>
      <c r="D410" s="935" t="s">
        <v>2535</v>
      </c>
      <c r="E410" s="94" t="s">
        <v>784</v>
      </c>
      <c r="F410" s="9" t="s">
        <v>470</v>
      </c>
      <c r="G410" s="140" t="s">
        <v>1403</v>
      </c>
      <c r="H410" s="140"/>
      <c r="I410" s="151">
        <v>2030</v>
      </c>
      <c r="J410" s="630" t="s">
        <v>1408</v>
      </c>
      <c r="K410" s="630">
        <v>4.8</v>
      </c>
      <c r="L410" s="97" t="s">
        <v>2255</v>
      </c>
      <c r="M410" s="97"/>
    </row>
    <row r="411" spans="1:14" hidden="1" outlineLevel="1" x14ac:dyDescent="0.25">
      <c r="A411" s="534" t="str">
        <f>IFERROR(IF(MATCH($B$402&amp;"-"&amp;$B411,'Protocol reference (numerical)'!$A$3:$A$217,0),"yes","x"),"no")</f>
        <v>no</v>
      </c>
      <c r="B411" s="1197">
        <v>1</v>
      </c>
      <c r="C411" s="9" t="s">
        <v>471</v>
      </c>
      <c r="D411" s="935" t="s">
        <v>472</v>
      </c>
      <c r="E411" s="94" t="s">
        <v>784</v>
      </c>
      <c r="F411" s="9" t="s">
        <v>473</v>
      </c>
      <c r="G411" s="152">
        <v>0.20499999999999999</v>
      </c>
      <c r="H411" s="58"/>
      <c r="I411" s="57">
        <v>2023</v>
      </c>
      <c r="J411" s="630" t="s">
        <v>1408</v>
      </c>
      <c r="K411" s="659">
        <v>0.20499999999999999</v>
      </c>
      <c r="L411" s="97"/>
      <c r="M411" s="97"/>
    </row>
    <row r="412" spans="1:14" s="534" customFormat="1" hidden="1" outlineLevel="1" x14ac:dyDescent="0.25">
      <c r="A412" s="534" t="str">
        <f>IFERROR(IF(MATCH($B$402&amp;"-"&amp;$B412,'Protocol reference (numerical)'!$A$3:$A$217,0),"yes","x"),"no")</f>
        <v>yes</v>
      </c>
      <c r="B412" s="1201" t="s">
        <v>3</v>
      </c>
      <c r="C412" s="9" t="s">
        <v>471</v>
      </c>
      <c r="D412" s="935" t="s">
        <v>472</v>
      </c>
      <c r="E412" s="400" t="s">
        <v>696</v>
      </c>
      <c r="F412" s="535" t="s">
        <v>1854</v>
      </c>
      <c r="G412" s="558" t="s">
        <v>1857</v>
      </c>
      <c r="H412" s="226"/>
      <c r="I412" s="557">
        <v>2023</v>
      </c>
      <c r="J412" s="630" t="s">
        <v>1408</v>
      </c>
      <c r="K412" s="660">
        <v>34</v>
      </c>
      <c r="L412" s="97"/>
      <c r="M412" s="97"/>
      <c r="N412" s="669"/>
    </row>
    <row r="413" spans="1:14" s="534" customFormat="1" hidden="1" outlineLevel="1" x14ac:dyDescent="0.25">
      <c r="A413" s="534" t="str">
        <f>IFERROR(IF(MATCH($B$402&amp;"-"&amp;$B413,'Protocol reference (numerical)'!$A$3:$A$217,0),"yes","x"),"no")</f>
        <v>yes</v>
      </c>
      <c r="B413" s="1201" t="s">
        <v>700</v>
      </c>
      <c r="C413" s="9" t="s">
        <v>471</v>
      </c>
      <c r="D413" s="935" t="s">
        <v>472</v>
      </c>
      <c r="E413" s="400" t="s">
        <v>696</v>
      </c>
      <c r="F413" s="535" t="s">
        <v>468</v>
      </c>
      <c r="G413" s="558" t="s">
        <v>1010</v>
      </c>
      <c r="H413" s="226"/>
      <c r="I413" s="557">
        <v>2023</v>
      </c>
      <c r="J413" s="630" t="s">
        <v>1408</v>
      </c>
      <c r="K413" s="660">
        <v>20</v>
      </c>
      <c r="L413" s="97"/>
      <c r="M413" s="97"/>
      <c r="N413" s="669"/>
    </row>
    <row r="414" spans="1:14" s="534" customFormat="1" hidden="1" outlineLevel="1" x14ac:dyDescent="0.25">
      <c r="A414" s="534" t="str">
        <f>IFERROR(IF(MATCH($B$402&amp;"-"&amp;$B414,'Protocol reference (numerical)'!$A$3:$A$217,0),"yes","x"),"no")</f>
        <v>yes</v>
      </c>
      <c r="B414" s="1201" t="s">
        <v>802</v>
      </c>
      <c r="C414" s="9" t="s">
        <v>471</v>
      </c>
      <c r="D414" s="935" t="s">
        <v>472</v>
      </c>
      <c r="E414" s="400" t="s">
        <v>696</v>
      </c>
      <c r="F414" s="535" t="s">
        <v>466</v>
      </c>
      <c r="G414" s="558" t="s">
        <v>1512</v>
      </c>
      <c r="H414" s="226"/>
      <c r="I414" s="557">
        <v>2023</v>
      </c>
      <c r="J414" s="630" t="s">
        <v>1408</v>
      </c>
      <c r="K414" s="660">
        <v>5</v>
      </c>
      <c r="L414" s="97"/>
      <c r="M414" s="97"/>
      <c r="N414" s="669"/>
    </row>
    <row r="415" spans="1:14" s="534" customFormat="1" hidden="1" outlineLevel="1" x14ac:dyDescent="0.25">
      <c r="A415" s="534" t="str">
        <f>IFERROR(IF(MATCH($B$402&amp;"-"&amp;$B415,'Protocol reference (numerical)'!$A$3:$A$217,0),"yes","x"),"no")</f>
        <v>yes</v>
      </c>
      <c r="B415" s="1201" t="s">
        <v>836</v>
      </c>
      <c r="C415" s="9" t="s">
        <v>471</v>
      </c>
      <c r="D415" s="935" t="s">
        <v>472</v>
      </c>
      <c r="E415" s="400" t="s">
        <v>696</v>
      </c>
      <c r="F415" s="535" t="s">
        <v>1855</v>
      </c>
      <c r="G415" s="558" t="s">
        <v>1316</v>
      </c>
      <c r="H415" s="226"/>
      <c r="I415" s="557">
        <v>2023</v>
      </c>
      <c r="J415" s="630" t="s">
        <v>1408</v>
      </c>
      <c r="K415" s="660">
        <v>1</v>
      </c>
      <c r="L415" s="97"/>
      <c r="M415" s="97"/>
      <c r="N415" s="669"/>
    </row>
    <row r="416" spans="1:14" s="534" customFormat="1" hidden="1" outlineLevel="1" x14ac:dyDescent="0.25">
      <c r="A416" s="534" t="str">
        <f>IFERROR(IF(MATCH($B$402&amp;"-"&amp;$B416,'Protocol reference (numerical)'!$A$3:$A$217,0),"yes","x"),"no")</f>
        <v>yes</v>
      </c>
      <c r="B416" s="1201" t="s">
        <v>2508</v>
      </c>
      <c r="C416" s="9" t="s">
        <v>471</v>
      </c>
      <c r="D416" s="935" t="s">
        <v>472</v>
      </c>
      <c r="E416" s="400" t="s">
        <v>696</v>
      </c>
      <c r="F416" s="535" t="s">
        <v>1856</v>
      </c>
      <c r="G416" s="558" t="s">
        <v>1316</v>
      </c>
      <c r="H416" s="226"/>
      <c r="I416" s="557">
        <v>2023</v>
      </c>
      <c r="J416" s="630" t="s">
        <v>1408</v>
      </c>
      <c r="K416" s="660">
        <v>1</v>
      </c>
      <c r="L416" s="97"/>
      <c r="M416" s="97"/>
      <c r="N416" s="669"/>
    </row>
    <row r="417" spans="1:14" ht="30" hidden="1" outlineLevel="1" x14ac:dyDescent="0.25">
      <c r="A417" s="534" t="str">
        <f>IFERROR(IF(MATCH($B$402&amp;"-"&amp;$B417,'Protocol reference (numerical)'!$A$3:$A$217,0),"yes","x"),"no")</f>
        <v>no</v>
      </c>
      <c r="B417" s="1193" t="s">
        <v>1216</v>
      </c>
      <c r="C417" s="9" t="s">
        <v>494</v>
      </c>
      <c r="D417" s="935" t="s">
        <v>478</v>
      </c>
      <c r="E417" s="94" t="s">
        <v>784</v>
      </c>
      <c r="F417" s="9" t="s">
        <v>495</v>
      </c>
      <c r="G417" s="56">
        <v>0.2</v>
      </c>
      <c r="H417" s="58">
        <v>2017</v>
      </c>
      <c r="I417" s="57"/>
      <c r="J417" s="630" t="s">
        <v>1420</v>
      </c>
      <c r="K417" s="626"/>
      <c r="L417" s="97"/>
      <c r="M417" s="97"/>
    </row>
    <row r="418" spans="1:14" ht="30" hidden="1" outlineLevel="1" x14ac:dyDescent="0.25">
      <c r="A418" s="534" t="str">
        <f>IFERROR(IF(MATCH($B$402&amp;"-"&amp;$B418,'Protocol reference (numerical)'!$A$3:$A$217,0),"yes","x"),"no")</f>
        <v>yes</v>
      </c>
      <c r="B418" s="1197">
        <v>3</v>
      </c>
      <c r="C418" s="9" t="s">
        <v>477</v>
      </c>
      <c r="D418" s="935" t="s">
        <v>478</v>
      </c>
      <c r="E418" s="94" t="s">
        <v>784</v>
      </c>
      <c r="F418" s="54" t="s">
        <v>479</v>
      </c>
      <c r="G418" s="58" t="s">
        <v>480</v>
      </c>
      <c r="H418" s="58">
        <v>2008</v>
      </c>
      <c r="I418" s="57">
        <v>2023</v>
      </c>
      <c r="J418" s="630" t="s">
        <v>1680</v>
      </c>
      <c r="K418" s="628">
        <v>-0.2</v>
      </c>
      <c r="L418" s="97"/>
      <c r="M418" s="97"/>
    </row>
    <row r="419" spans="1:14" ht="30" hidden="1" outlineLevel="1" x14ac:dyDescent="0.25">
      <c r="A419" s="534" t="str">
        <f>IFERROR(IF(MATCH($B$402&amp;"-"&amp;$B419,'Protocol reference (numerical)'!$A$3:$A$217,0),"yes","x"),"no")</f>
        <v>no</v>
      </c>
      <c r="B419" s="1193" t="s">
        <v>351</v>
      </c>
      <c r="C419" s="9" t="s">
        <v>481</v>
      </c>
      <c r="D419" s="935" t="s">
        <v>482</v>
      </c>
      <c r="E419" s="94" t="s">
        <v>784</v>
      </c>
      <c r="F419" s="9" t="s">
        <v>483</v>
      </c>
      <c r="G419" s="58" t="s">
        <v>484</v>
      </c>
      <c r="H419" s="58"/>
      <c r="I419" s="57">
        <v>2023</v>
      </c>
      <c r="J419" s="630" t="s">
        <v>1420</v>
      </c>
      <c r="K419" s="626"/>
      <c r="L419" s="97"/>
      <c r="M419" s="97"/>
    </row>
    <row r="420" spans="1:14" hidden="1" outlineLevel="1" x14ac:dyDescent="0.25">
      <c r="A420" s="534" t="str">
        <f>IFERROR(IF(MATCH($B$402&amp;"-"&amp;$B420,'Protocol reference (numerical)'!$A$3:$A$217,0),"yes","x"),"no")</f>
        <v>no</v>
      </c>
      <c r="B420" s="1193" t="s">
        <v>355</v>
      </c>
      <c r="C420" s="9"/>
      <c r="D420" s="935" t="s">
        <v>482</v>
      </c>
      <c r="E420" s="94" t="s">
        <v>784</v>
      </c>
      <c r="F420" s="9" t="s">
        <v>485</v>
      </c>
      <c r="G420" s="58" t="s">
        <v>486</v>
      </c>
      <c r="H420" s="58"/>
      <c r="I420" s="57">
        <v>2023</v>
      </c>
      <c r="J420" s="630" t="s">
        <v>1420</v>
      </c>
      <c r="K420" s="626"/>
      <c r="L420" s="97"/>
      <c r="M420" s="97"/>
    </row>
    <row r="421" spans="1:14" hidden="1" outlineLevel="1" x14ac:dyDescent="0.25">
      <c r="A421" s="534" t="str">
        <f>IFERROR(IF(MATCH($B$402&amp;"-"&amp;$B421,'Protocol reference (numerical)'!$A$3:$A$217,0),"yes","x"),"no")</f>
        <v>no</v>
      </c>
      <c r="B421" s="1193" t="s">
        <v>547</v>
      </c>
      <c r="C421" s="9"/>
      <c r="D421" s="935" t="s">
        <v>482</v>
      </c>
      <c r="E421" s="94" t="s">
        <v>784</v>
      </c>
      <c r="F421" s="9" t="s">
        <v>487</v>
      </c>
      <c r="G421" s="58" t="s">
        <v>488</v>
      </c>
      <c r="H421" s="58"/>
      <c r="I421" s="57">
        <v>2023</v>
      </c>
      <c r="J421" s="630" t="s">
        <v>1420</v>
      </c>
      <c r="K421" s="626"/>
      <c r="L421" s="97"/>
      <c r="M421" s="97"/>
    </row>
    <row r="422" spans="1:14" hidden="1" outlineLevel="1" x14ac:dyDescent="0.25">
      <c r="A422" s="534" t="str">
        <f>IFERROR(IF(MATCH($B$402&amp;"-"&amp;$B422,'Protocol reference (numerical)'!$A$3:$A$217,0),"yes","x"),"no")</f>
        <v>no</v>
      </c>
      <c r="B422" s="1202" t="s">
        <v>9</v>
      </c>
      <c r="C422" s="498" t="s">
        <v>489</v>
      </c>
      <c r="D422" s="939" t="s">
        <v>482</v>
      </c>
      <c r="E422" s="113" t="s">
        <v>784</v>
      </c>
      <c r="F422" s="69" t="s">
        <v>490</v>
      </c>
      <c r="G422" s="71" t="s">
        <v>491</v>
      </c>
      <c r="H422" s="71">
        <v>2007</v>
      </c>
      <c r="I422" s="72">
        <v>2020</v>
      </c>
      <c r="J422" s="657" t="s">
        <v>1420</v>
      </c>
      <c r="K422" s="661"/>
      <c r="L422" s="97" t="s">
        <v>1337</v>
      </c>
      <c r="M422" s="97"/>
    </row>
    <row r="423" spans="1:14" hidden="1" outlineLevel="1" x14ac:dyDescent="0.25">
      <c r="A423" s="534" t="str">
        <f>IFERROR(IF(MATCH($B$402&amp;"-"&amp;$B423,'Protocol reference (numerical)'!$A$3:$A$217,0),"yes","x"),"no")</f>
        <v>no</v>
      </c>
      <c r="B423" s="1203" t="s">
        <v>939</v>
      </c>
      <c r="C423" s="133"/>
      <c r="D423" s="940" t="s">
        <v>482</v>
      </c>
      <c r="E423" s="154"/>
      <c r="F423" s="120" t="s">
        <v>2268</v>
      </c>
      <c r="G423" s="155" t="s">
        <v>480</v>
      </c>
      <c r="H423" s="155">
        <v>2007</v>
      </c>
      <c r="I423" s="156">
        <v>2020</v>
      </c>
      <c r="J423" s="658" t="s">
        <v>1420</v>
      </c>
      <c r="K423" s="662"/>
      <c r="L423" s="97" t="s">
        <v>2271</v>
      </c>
      <c r="M423" s="97"/>
    </row>
    <row r="424" spans="1:14" collapsed="1" x14ac:dyDescent="0.25">
      <c r="B424" s="105"/>
      <c r="D424" s="3"/>
      <c r="F424" s="3"/>
      <c r="H424" s="832"/>
      <c r="I424" s="832"/>
      <c r="J424" s="3"/>
    </row>
    <row r="425" spans="1:14" ht="23.25" x14ac:dyDescent="0.35">
      <c r="B425" s="286" t="s">
        <v>55</v>
      </c>
      <c r="C425" s="16" t="s">
        <v>334</v>
      </c>
      <c r="D425" s="16" t="s">
        <v>335</v>
      </c>
      <c r="E425" s="40" t="s">
        <v>336</v>
      </c>
      <c r="F425" s="16" t="s">
        <v>1419</v>
      </c>
      <c r="G425" s="858" t="s">
        <v>337</v>
      </c>
      <c r="H425" s="858" t="s">
        <v>2</v>
      </c>
      <c r="I425" s="833" t="s">
        <v>338</v>
      </c>
      <c r="J425" s="29" t="s">
        <v>1418</v>
      </c>
      <c r="K425" s="833" t="s">
        <v>2201</v>
      </c>
      <c r="L425" s="798" t="s">
        <v>690</v>
      </c>
    </row>
    <row r="426" spans="1:14" s="534" customFormat="1" hidden="1" outlineLevel="1" x14ac:dyDescent="0.25">
      <c r="A426" s="534" t="str">
        <f>IFERROR(IF(MATCH($B$425&amp;"-"&amp;$B426,'Protocol reference (numerical)'!$A$3:$A$217,0),"yes","x"),"no")</f>
        <v>no</v>
      </c>
      <c r="B426" s="1204">
        <v>0</v>
      </c>
      <c r="C426" s="561" t="s">
        <v>2514</v>
      </c>
      <c r="D426" s="562" t="s">
        <v>2536</v>
      </c>
      <c r="E426" s="563" t="s">
        <v>784</v>
      </c>
      <c r="F426" s="541" t="s">
        <v>339</v>
      </c>
      <c r="G426" s="564" t="s">
        <v>1858</v>
      </c>
      <c r="H426" s="564">
        <v>2005</v>
      </c>
      <c r="I426" s="565">
        <v>2025</v>
      </c>
      <c r="J426" s="606" t="s">
        <v>1467</v>
      </c>
      <c r="K426" s="663">
        <v>0.27</v>
      </c>
      <c r="L426" s="791"/>
      <c r="M426" s="791"/>
      <c r="N426" s="669"/>
    </row>
    <row r="427" spans="1:14" ht="30" hidden="1" outlineLevel="1" x14ac:dyDescent="0.25">
      <c r="A427" s="534" t="str">
        <f>IFERROR(IF(MATCH($B$425&amp;"-"&amp;$B427,'Protocol reference (numerical)'!$A$3:$A$217,0),"yes","x"),"no")</f>
        <v>yes</v>
      </c>
      <c r="B427" s="1205">
        <v>1</v>
      </c>
      <c r="C427" s="157" t="s">
        <v>394</v>
      </c>
      <c r="D427" s="124" t="s">
        <v>395</v>
      </c>
      <c r="E427" s="158" t="s">
        <v>696</v>
      </c>
      <c r="F427" s="49" t="s">
        <v>2267</v>
      </c>
      <c r="G427" s="52" t="s">
        <v>1442</v>
      </c>
      <c r="H427" s="52"/>
      <c r="I427" s="53">
        <v>2025</v>
      </c>
      <c r="J427" s="614" t="s">
        <v>1412</v>
      </c>
      <c r="K427" s="741" t="s">
        <v>2120</v>
      </c>
      <c r="L427" s="670" t="s">
        <v>1338</v>
      </c>
      <c r="M427" s="791" t="s">
        <v>1339</v>
      </c>
    </row>
    <row r="428" spans="1:14" ht="30" hidden="1" outlineLevel="1" x14ac:dyDescent="0.25">
      <c r="A428" s="534" t="str">
        <f>IFERROR(IF(MATCH($B$425&amp;"-"&amp;$B428,'Protocol reference (numerical)'!$A$3:$A$217,0),"yes","x"),"no")</f>
        <v>yes</v>
      </c>
      <c r="B428" s="1197" t="s">
        <v>34</v>
      </c>
      <c r="C428" s="108" t="s">
        <v>397</v>
      </c>
      <c r="D428" s="107" t="s">
        <v>398</v>
      </c>
      <c r="E428" s="63" t="s">
        <v>696</v>
      </c>
      <c r="F428" s="9" t="s">
        <v>1340</v>
      </c>
      <c r="G428" s="58" t="s">
        <v>1443</v>
      </c>
      <c r="H428" s="58"/>
      <c r="I428" s="57">
        <v>2018</v>
      </c>
      <c r="J428" s="608" t="s">
        <v>1412</v>
      </c>
      <c r="K428" s="741" t="s">
        <v>2144</v>
      </c>
      <c r="L428" s="127" t="s">
        <v>1341</v>
      </c>
      <c r="M428" s="674" t="s">
        <v>1342</v>
      </c>
    </row>
    <row r="429" spans="1:14" hidden="1" outlineLevel="1" x14ac:dyDescent="0.25">
      <c r="A429" s="534" t="str">
        <f>IFERROR(IF(MATCH($B$425&amp;"-"&amp;$B429,'Protocol reference (numerical)'!$A$3:$A$217,0),"yes","x"),"no")</f>
        <v>no</v>
      </c>
      <c r="B429" s="1197" t="s">
        <v>708</v>
      </c>
      <c r="C429" s="108"/>
      <c r="D429" s="107"/>
      <c r="E429" s="63" t="s">
        <v>696</v>
      </c>
      <c r="F429" s="9" t="s">
        <v>1340</v>
      </c>
      <c r="G429" s="58" t="s">
        <v>1446</v>
      </c>
      <c r="H429" s="58"/>
      <c r="I429" s="57">
        <v>2027</v>
      </c>
      <c r="J429" s="608" t="s">
        <v>1412</v>
      </c>
      <c r="K429" s="741" t="s">
        <v>2145</v>
      </c>
      <c r="L429" s="127"/>
      <c r="M429" s="674"/>
    </row>
    <row r="430" spans="1:14" ht="30" hidden="1" outlineLevel="1" x14ac:dyDescent="0.25">
      <c r="A430" s="534" t="str">
        <f>IFERROR(IF(MATCH($B$425&amp;"-"&amp;$B430,'Protocol reference (numerical)'!$A$3:$A$217,0),"yes","x"),"no")</f>
        <v>no</v>
      </c>
      <c r="B430" s="1197" t="s">
        <v>709</v>
      </c>
      <c r="C430" s="108"/>
      <c r="D430" s="107"/>
      <c r="E430" s="63" t="s">
        <v>696</v>
      </c>
      <c r="F430" s="9" t="s">
        <v>1343</v>
      </c>
      <c r="G430" s="58" t="s">
        <v>1444</v>
      </c>
      <c r="H430" s="58"/>
      <c r="I430" s="57">
        <v>2018</v>
      </c>
      <c r="J430" s="608" t="s">
        <v>1412</v>
      </c>
      <c r="K430" s="741" t="s">
        <v>2146</v>
      </c>
      <c r="L430" s="127" t="s">
        <v>1344</v>
      </c>
      <c r="M430" s="800" t="s">
        <v>1342</v>
      </c>
    </row>
    <row r="431" spans="1:14" hidden="1" outlineLevel="1" x14ac:dyDescent="0.25">
      <c r="A431" s="534" t="str">
        <f>IFERROR(IF(MATCH($B$425&amp;"-"&amp;$B431,'Protocol reference (numerical)'!$A$3:$A$217,0),"yes","x"),"no")</f>
        <v>no</v>
      </c>
      <c r="B431" s="1197" t="s">
        <v>710</v>
      </c>
      <c r="C431" s="108"/>
      <c r="D431" s="107"/>
      <c r="E431" s="63" t="s">
        <v>696</v>
      </c>
      <c r="F431" s="9" t="s">
        <v>1343</v>
      </c>
      <c r="G431" s="58" t="s">
        <v>1445</v>
      </c>
      <c r="H431" s="58"/>
      <c r="I431" s="57">
        <v>2027</v>
      </c>
      <c r="J431" s="608" t="s">
        <v>1412</v>
      </c>
      <c r="K431" s="741" t="s">
        <v>2147</v>
      </c>
      <c r="L431" s="127"/>
      <c r="M431" s="800"/>
    </row>
    <row r="432" spans="1:14" hidden="1" outlineLevel="1" x14ac:dyDescent="0.25">
      <c r="A432" s="534" t="str">
        <f>IFERROR(IF(MATCH($B$425&amp;"-"&amp;$B432,'Protocol reference (numerical)'!$A$3:$A$217,0),"yes","x"),"no")</f>
        <v>no</v>
      </c>
      <c r="B432" s="1197">
        <v>12</v>
      </c>
      <c r="C432" s="108" t="s">
        <v>1421</v>
      </c>
      <c r="D432" s="107" t="s">
        <v>1422</v>
      </c>
      <c r="E432" s="63"/>
      <c r="F432" s="9"/>
      <c r="G432" s="58"/>
      <c r="H432" s="58"/>
      <c r="I432" s="57"/>
      <c r="J432" s="608"/>
      <c r="K432" s="626"/>
      <c r="L432" s="127"/>
      <c r="M432" s="800"/>
    </row>
    <row r="433" spans="1:13" ht="30" hidden="1" outlineLevel="1" x14ac:dyDescent="0.25">
      <c r="A433" s="534" t="str">
        <f>IFERROR(IF(MATCH($B$425&amp;"-"&amp;$B433,'Protocol reference (numerical)'!$A$3:$A$217,0),"yes","x"),"no")</f>
        <v>yes</v>
      </c>
      <c r="B433" s="1197">
        <v>3</v>
      </c>
      <c r="C433" s="108" t="s">
        <v>1345</v>
      </c>
      <c r="D433" s="107" t="s">
        <v>1346</v>
      </c>
      <c r="E433" s="94" t="s">
        <v>696</v>
      </c>
      <c r="F433" s="9" t="s">
        <v>1460</v>
      </c>
      <c r="G433" s="58" t="s">
        <v>1347</v>
      </c>
      <c r="H433" s="58">
        <v>2012</v>
      </c>
      <c r="I433" s="57">
        <v>2020</v>
      </c>
      <c r="J433" s="608" t="s">
        <v>1405</v>
      </c>
      <c r="K433" s="664">
        <v>0.106</v>
      </c>
      <c r="L433" s="670" t="s">
        <v>1461</v>
      </c>
    </row>
    <row r="434" spans="1:13" hidden="1" outlineLevel="1" x14ac:dyDescent="0.25">
      <c r="A434" s="534" t="str">
        <f>IFERROR(IF(MATCH($B$425&amp;"-"&amp;$B434,'Protocol reference (numerical)'!$A$3:$A$217,0),"yes","x"),"no")</f>
        <v>yes</v>
      </c>
      <c r="B434" s="1197" t="s">
        <v>9</v>
      </c>
      <c r="C434" s="108" t="s">
        <v>404</v>
      </c>
      <c r="D434" s="107" t="s">
        <v>401</v>
      </c>
      <c r="E434" s="94" t="s">
        <v>696</v>
      </c>
      <c r="F434" s="9" t="s">
        <v>405</v>
      </c>
      <c r="G434" s="58">
        <v>450</v>
      </c>
      <c r="H434" s="58">
        <v>2014</v>
      </c>
      <c r="I434" s="57">
        <v>2030</v>
      </c>
      <c r="J434" s="608" t="s">
        <v>1407</v>
      </c>
      <c r="K434" s="626" t="s">
        <v>1463</v>
      </c>
      <c r="M434" s="127"/>
    </row>
    <row r="435" spans="1:13" hidden="1" outlineLevel="1" x14ac:dyDescent="0.25">
      <c r="A435" s="534" t="str">
        <f>IFERROR(IF(MATCH($B$425&amp;"-"&amp;$B435,'Protocol reference (numerical)'!$A$3:$A$217,0),"yes","x"),"no")</f>
        <v>yes</v>
      </c>
      <c r="B435" s="1197" t="s">
        <v>33</v>
      </c>
      <c r="C435" s="108" t="s">
        <v>1348</v>
      </c>
      <c r="D435" s="107" t="s">
        <v>406</v>
      </c>
      <c r="E435" s="94" t="s">
        <v>696</v>
      </c>
      <c r="F435" s="9" t="s">
        <v>407</v>
      </c>
      <c r="G435" s="159">
        <v>0.10100000000000001</v>
      </c>
      <c r="H435" s="58">
        <v>2014</v>
      </c>
      <c r="I435" s="57"/>
      <c r="J435" s="608" t="s">
        <v>1462</v>
      </c>
      <c r="K435" s="659">
        <v>0.10100000000000001</v>
      </c>
      <c r="M435" s="127"/>
    </row>
    <row r="436" spans="1:13" hidden="1" outlineLevel="1" x14ac:dyDescent="0.25">
      <c r="A436" s="534" t="str">
        <f>IFERROR(IF(MATCH($B$425&amp;"-"&amp;$B436,'Protocol reference (numerical)'!$A$3:$A$217,0),"yes","x"),"no")</f>
        <v>yes</v>
      </c>
      <c r="B436" s="1197" t="s">
        <v>561</v>
      </c>
      <c r="C436" s="108" t="s">
        <v>1348</v>
      </c>
      <c r="D436" s="107" t="s">
        <v>406</v>
      </c>
      <c r="E436" s="94" t="s">
        <v>696</v>
      </c>
      <c r="F436" s="9" t="s">
        <v>408</v>
      </c>
      <c r="G436" s="159" t="s">
        <v>1349</v>
      </c>
      <c r="H436" s="58"/>
      <c r="I436" s="57">
        <v>2022</v>
      </c>
      <c r="J436" s="608" t="s">
        <v>1462</v>
      </c>
      <c r="K436" s="628">
        <v>0.21</v>
      </c>
      <c r="L436" s="791" t="s">
        <v>1468</v>
      </c>
      <c r="M436" s="127"/>
    </row>
    <row r="437" spans="1:13" hidden="1" outlineLevel="1" x14ac:dyDescent="0.25">
      <c r="A437" s="534" t="str">
        <f>IFERROR(IF(MATCH($B$425&amp;"-"&amp;$B437,'Protocol reference (numerical)'!$A$3:$A$217,0),"yes","x"),"no")</f>
        <v>yes</v>
      </c>
      <c r="B437" s="1197" t="s">
        <v>1216</v>
      </c>
      <c r="C437" s="108"/>
      <c r="D437" s="107"/>
      <c r="E437" s="94"/>
      <c r="F437" s="9"/>
      <c r="G437" s="159"/>
      <c r="H437" s="58"/>
      <c r="I437" s="57"/>
      <c r="J437" s="608" t="s">
        <v>1462</v>
      </c>
      <c r="K437" s="628">
        <v>0.15</v>
      </c>
      <c r="L437" s="791" t="s">
        <v>1469</v>
      </c>
      <c r="M437" s="127"/>
    </row>
    <row r="438" spans="1:13" ht="30" hidden="1" outlineLevel="1" x14ac:dyDescent="0.25">
      <c r="A438" s="534" t="str">
        <f>IFERROR(IF(MATCH($B$425&amp;"-"&amp;$B438,'Protocol reference (numerical)'!$A$3:$A$217,0),"yes","x"),"no")</f>
        <v>no</v>
      </c>
      <c r="B438" s="1197">
        <v>7</v>
      </c>
      <c r="C438" s="108" t="s">
        <v>409</v>
      </c>
      <c r="D438" s="107" t="s">
        <v>410</v>
      </c>
      <c r="E438" s="94" t="s">
        <v>696</v>
      </c>
      <c r="F438" s="9" t="s">
        <v>411</v>
      </c>
      <c r="G438" s="58" t="s">
        <v>412</v>
      </c>
      <c r="H438" s="58" t="s">
        <v>413</v>
      </c>
      <c r="I438" s="57">
        <v>2033</v>
      </c>
      <c r="J438" s="608" t="s">
        <v>1465</v>
      </c>
      <c r="K438" s="628">
        <v>0.85</v>
      </c>
      <c r="M438" s="127"/>
    </row>
    <row r="439" spans="1:13" hidden="1" outlineLevel="1" x14ac:dyDescent="0.25">
      <c r="A439" s="534" t="str">
        <f>IFERROR(IF(MATCH($B$425&amp;"-"&amp;$B439,'Protocol reference (numerical)'!$A$3:$A$217,0),"yes","x"),"no")</f>
        <v>yes</v>
      </c>
      <c r="B439" s="1197">
        <v>3</v>
      </c>
      <c r="C439" s="108" t="s">
        <v>1363</v>
      </c>
      <c r="D439" s="107" t="s">
        <v>416</v>
      </c>
      <c r="E439" s="94" t="s">
        <v>1639</v>
      </c>
      <c r="F439" s="9" t="s">
        <v>417</v>
      </c>
      <c r="G439" s="58" t="s">
        <v>418</v>
      </c>
      <c r="H439" s="58">
        <v>2012</v>
      </c>
      <c r="I439" s="57">
        <v>2025</v>
      </c>
      <c r="J439" s="608" t="s">
        <v>1477</v>
      </c>
      <c r="K439" s="659">
        <v>0.42499999999999999</v>
      </c>
    </row>
    <row r="440" spans="1:13" ht="30" hidden="1" outlineLevel="1" x14ac:dyDescent="0.25">
      <c r="A440" s="534" t="str">
        <f>IFERROR(IF(MATCH($B$425&amp;"-"&amp;$B440,'Protocol reference (numerical)'!$A$3:$A$217,0),"yes","x"),"no")</f>
        <v>no</v>
      </c>
      <c r="B440" s="1197" t="s">
        <v>511</v>
      </c>
      <c r="C440" s="108" t="s">
        <v>414</v>
      </c>
      <c r="D440" s="543" t="s">
        <v>415</v>
      </c>
      <c r="E440" s="94" t="s">
        <v>696</v>
      </c>
      <c r="F440" s="9" t="s">
        <v>1470</v>
      </c>
      <c r="G440" s="58" t="s">
        <v>1471</v>
      </c>
      <c r="H440" s="58">
        <v>2012</v>
      </c>
      <c r="I440" s="57">
        <v>2030</v>
      </c>
      <c r="J440" s="608"/>
      <c r="K440" s="626"/>
    </row>
    <row r="441" spans="1:13" hidden="1" outlineLevel="1" x14ac:dyDescent="0.25">
      <c r="A441" s="534" t="str">
        <f>IFERROR(IF(MATCH($B$425&amp;"-"&amp;$B441,'Protocol reference (numerical)'!$A$3:$A$217,0),"yes","x"),"no")</f>
        <v>yes</v>
      </c>
      <c r="B441" s="1197" t="s">
        <v>515</v>
      </c>
      <c r="C441" s="108"/>
      <c r="D441" s="107"/>
      <c r="E441" s="94"/>
      <c r="F441" s="9" t="s">
        <v>1472</v>
      </c>
      <c r="G441" s="58" t="s">
        <v>480</v>
      </c>
      <c r="H441" s="58">
        <v>2010</v>
      </c>
      <c r="I441" s="57">
        <v>2025</v>
      </c>
      <c r="J441" s="608" t="s">
        <v>1474</v>
      </c>
      <c r="K441" s="628">
        <v>0.2</v>
      </c>
      <c r="L441" s="791" t="s">
        <v>1476</v>
      </c>
    </row>
    <row r="442" spans="1:13" hidden="1" outlineLevel="1" x14ac:dyDescent="0.25">
      <c r="A442" s="534" t="str">
        <f>IFERROR(IF(MATCH($B$425&amp;"-"&amp;$B442,'Protocol reference (numerical)'!$A$3:$A$217,0),"yes","x"),"no")</f>
        <v>no</v>
      </c>
      <c r="B442" s="1197" t="s">
        <v>896</v>
      </c>
      <c r="C442" s="108"/>
      <c r="D442" s="107"/>
      <c r="E442" s="94"/>
      <c r="F442" s="9" t="s">
        <v>1351</v>
      </c>
      <c r="G442" s="58"/>
      <c r="H442" s="58"/>
      <c r="I442" s="57"/>
      <c r="J442" s="608" t="s">
        <v>1479</v>
      </c>
      <c r="K442" s="629">
        <v>6.8000000000000005E-2</v>
      </c>
      <c r="L442" s="670" t="s">
        <v>1482</v>
      </c>
    </row>
    <row r="443" spans="1:13" hidden="1" outlineLevel="1" x14ac:dyDescent="0.25">
      <c r="A443" s="534" t="str">
        <f>IFERROR(IF(MATCH($B$425&amp;"-"&amp;$B443,'Protocol reference (numerical)'!$A$3:$A$217,0),"yes","x"),"no")</f>
        <v>no</v>
      </c>
      <c r="B443" s="1197" t="s">
        <v>898</v>
      </c>
      <c r="C443" s="108"/>
      <c r="D443" s="107"/>
      <c r="E443" s="94"/>
      <c r="F443" s="9" t="s">
        <v>1351</v>
      </c>
      <c r="G443" s="58"/>
      <c r="H443" s="58"/>
      <c r="I443" s="57"/>
      <c r="J443" s="608" t="s">
        <v>1479</v>
      </c>
      <c r="K443" s="629">
        <v>8.3000000000000004E-2</v>
      </c>
      <c r="L443" s="791" t="s">
        <v>1483</v>
      </c>
    </row>
    <row r="444" spans="1:13" hidden="1" outlineLevel="1" x14ac:dyDescent="0.25">
      <c r="A444" s="534" t="str">
        <f>IFERROR(IF(MATCH($B$425&amp;"-"&amp;$B444,'Protocol reference (numerical)'!$A$3:$A$217,0),"yes","x"),"no")</f>
        <v>no</v>
      </c>
      <c r="B444" s="1197" t="s">
        <v>1130</v>
      </c>
      <c r="C444" s="108"/>
      <c r="D444" s="107"/>
      <c r="E444" s="94"/>
      <c r="F444" s="9" t="s">
        <v>1351</v>
      </c>
      <c r="G444" s="58"/>
      <c r="H444" s="58"/>
      <c r="I444" s="57"/>
      <c r="J444" s="608" t="s">
        <v>1479</v>
      </c>
      <c r="K444" s="629">
        <v>7.6999999999999999E-2</v>
      </c>
      <c r="L444" s="791" t="s">
        <v>1484</v>
      </c>
    </row>
    <row r="445" spans="1:13" hidden="1" outlineLevel="1" x14ac:dyDescent="0.25">
      <c r="A445" s="534" t="str">
        <f>IFERROR(IF(MATCH($B$425&amp;"-"&amp;$B445,'Protocol reference (numerical)'!$A$3:$A$217,0),"yes","x"),"no")</f>
        <v>no</v>
      </c>
      <c r="B445" s="1197" t="s">
        <v>1255</v>
      </c>
      <c r="C445" s="108"/>
      <c r="D445" s="107"/>
      <c r="E445" s="94"/>
      <c r="F445" s="9" t="s">
        <v>1351</v>
      </c>
      <c r="G445" s="58"/>
      <c r="H445" s="58"/>
      <c r="I445" s="57"/>
      <c r="J445" s="608" t="s">
        <v>1479</v>
      </c>
      <c r="K445" s="629">
        <v>0.08</v>
      </c>
      <c r="L445" s="670" t="s">
        <v>1482</v>
      </c>
    </row>
    <row r="446" spans="1:13" hidden="1" outlineLevel="1" x14ac:dyDescent="0.25">
      <c r="A446" s="534" t="str">
        <f>IFERROR(IF(MATCH($B$425&amp;"-"&amp;$B446,'Protocol reference (numerical)'!$A$3:$A$217,0),"yes","x"),"no")</f>
        <v>no</v>
      </c>
      <c r="B446" s="1197" t="s">
        <v>1248</v>
      </c>
      <c r="C446" s="108"/>
      <c r="D446" s="107"/>
      <c r="E446" s="94"/>
      <c r="F446" s="9" t="s">
        <v>1351</v>
      </c>
      <c r="G446" s="58"/>
      <c r="H446" s="58"/>
      <c r="I446" s="57"/>
      <c r="J446" s="608" t="s">
        <v>1479</v>
      </c>
      <c r="K446" s="629">
        <v>0.14299999999999999</v>
      </c>
      <c r="L446" s="791" t="s">
        <v>1483</v>
      </c>
    </row>
    <row r="447" spans="1:13" hidden="1" outlineLevel="1" x14ac:dyDescent="0.25">
      <c r="A447" s="534" t="str">
        <f>IFERROR(IF(MATCH($B$425&amp;"-"&amp;$B447,'Protocol reference (numerical)'!$A$3:$A$217,0),"yes","x"),"no")</f>
        <v>no</v>
      </c>
      <c r="B447" s="1197" t="s">
        <v>1251</v>
      </c>
      <c r="C447" s="108"/>
      <c r="D447" s="107"/>
      <c r="E447" s="94"/>
      <c r="F447" s="9" t="s">
        <v>1351</v>
      </c>
      <c r="G447" s="58"/>
      <c r="H447" s="58"/>
      <c r="I447" s="57"/>
      <c r="J447" s="608" t="s">
        <v>1479</v>
      </c>
      <c r="K447" s="629">
        <v>0.12</v>
      </c>
      <c r="L447" s="791" t="s">
        <v>1484</v>
      </c>
    </row>
    <row r="448" spans="1:13" hidden="1" outlineLevel="1" x14ac:dyDescent="0.25">
      <c r="A448" s="534" t="str">
        <f>IFERROR(IF(MATCH($B$425&amp;"-"&amp;$B448,'Protocol reference (numerical)'!$A$3:$A$217,0),"yes","x"),"no")</f>
        <v>yes</v>
      </c>
      <c r="B448" s="1197" t="s">
        <v>899</v>
      </c>
      <c r="C448" s="108" t="s">
        <v>1350</v>
      </c>
      <c r="D448" s="107" t="s">
        <v>419</v>
      </c>
      <c r="E448" s="94" t="s">
        <v>696</v>
      </c>
      <c r="F448" s="9" t="s">
        <v>1351</v>
      </c>
      <c r="G448" s="58" t="s">
        <v>2073</v>
      </c>
      <c r="H448" s="58">
        <v>2012</v>
      </c>
      <c r="I448" s="57">
        <v>2020</v>
      </c>
      <c r="J448" s="608"/>
      <c r="K448" s="659"/>
      <c r="L448" s="670" t="s">
        <v>1480</v>
      </c>
      <c r="M448" s="800"/>
    </row>
    <row r="449" spans="1:14" hidden="1" outlineLevel="1" x14ac:dyDescent="0.25">
      <c r="A449" s="534" t="str">
        <f>IFERROR(IF(MATCH($B$425&amp;"-"&amp;$B449,'Protocol reference (numerical)'!$A$3:$A$217,0),"yes","x"),"no")</f>
        <v>yes</v>
      </c>
      <c r="B449" s="1197" t="s">
        <v>901</v>
      </c>
      <c r="C449" s="108"/>
      <c r="D449" s="107"/>
      <c r="E449" s="94"/>
      <c r="F449" s="9" t="s">
        <v>1351</v>
      </c>
      <c r="G449" s="58" t="s">
        <v>2074</v>
      </c>
      <c r="H449" s="58">
        <v>2012</v>
      </c>
      <c r="I449" s="57">
        <v>2030</v>
      </c>
      <c r="J449" s="608"/>
      <c r="K449" s="659"/>
      <c r="L449" s="791" t="s">
        <v>1481</v>
      </c>
    </row>
    <row r="450" spans="1:14" hidden="1" outlineLevel="1" x14ac:dyDescent="0.25">
      <c r="A450" s="534" t="str">
        <f>IFERROR(IF(MATCH($B$425&amp;"-"&amp;$B450,'Protocol reference (numerical)'!$A$3:$A$217,0),"yes","x"),"no")</f>
        <v>no</v>
      </c>
      <c r="B450" s="1197">
        <v>10</v>
      </c>
      <c r="C450" s="108" t="s">
        <v>1352</v>
      </c>
      <c r="D450" s="107" t="s">
        <v>420</v>
      </c>
      <c r="E450" s="94"/>
      <c r="F450" s="9" t="s">
        <v>1353</v>
      </c>
      <c r="G450" s="58"/>
      <c r="H450" s="58"/>
      <c r="I450" s="57">
        <v>2020</v>
      </c>
      <c r="J450" s="608" t="s">
        <v>1420</v>
      </c>
      <c r="K450" s="626"/>
      <c r="L450" s="791" t="s">
        <v>1475</v>
      </c>
    </row>
    <row r="451" spans="1:14" hidden="1" outlineLevel="1" x14ac:dyDescent="0.25">
      <c r="A451" s="534" t="str">
        <f>IFERROR(IF(MATCH($B$425&amp;"-"&amp;$B451,'Protocol reference (numerical)'!$A$3:$A$217,0),"yes","x"),"no")</f>
        <v>yes</v>
      </c>
      <c r="B451" s="1206">
        <v>11</v>
      </c>
      <c r="C451" s="112" t="s">
        <v>1358</v>
      </c>
      <c r="D451" s="160" t="s">
        <v>1359</v>
      </c>
      <c r="E451" s="113" t="s">
        <v>696</v>
      </c>
      <c r="F451" s="69" t="s">
        <v>54</v>
      </c>
      <c r="G451" s="71"/>
      <c r="H451" s="71"/>
      <c r="I451" s="72"/>
      <c r="J451" s="613" t="s">
        <v>1473</v>
      </c>
      <c r="K451" s="661" t="s">
        <v>1900</v>
      </c>
    </row>
    <row r="452" spans="1:14" ht="45" hidden="1" outlineLevel="1" x14ac:dyDescent="0.25">
      <c r="A452" s="534" t="str">
        <f>IFERROR(IF(MATCH($B$425&amp;"-"&amp;$B452,'Protocol reference (numerical)'!$A$3:$A$217,0),"yes","x"),"no")</f>
        <v>no</v>
      </c>
      <c r="B452" s="1206">
        <v>12</v>
      </c>
      <c r="C452" s="112" t="s">
        <v>1360</v>
      </c>
      <c r="D452" s="160" t="s">
        <v>1360</v>
      </c>
      <c r="E452" s="113" t="s">
        <v>696</v>
      </c>
      <c r="F452" s="69" t="s">
        <v>54</v>
      </c>
      <c r="G452" s="71"/>
      <c r="H452" s="71"/>
      <c r="I452" s="72"/>
      <c r="J452" s="613"/>
      <c r="K452" s="661"/>
    </row>
    <row r="453" spans="1:14" hidden="1" outlineLevel="1" x14ac:dyDescent="0.25">
      <c r="A453" s="534" t="str">
        <f>IFERROR(IF(MATCH($B$425&amp;"-"&amp;$B453,'Protocol reference (numerical)'!$A$3:$A$217,0),"yes","x"),"no")</f>
        <v>yes</v>
      </c>
      <c r="B453" s="1207">
        <v>13</v>
      </c>
      <c r="C453" s="161" t="s">
        <v>1354</v>
      </c>
      <c r="D453" s="162" t="s">
        <v>1355</v>
      </c>
      <c r="E453" s="163" t="s">
        <v>696</v>
      </c>
      <c r="F453" s="164" t="s">
        <v>1356</v>
      </c>
      <c r="G453" s="165" t="s">
        <v>1357</v>
      </c>
      <c r="H453" s="165">
        <v>2010</v>
      </c>
      <c r="I453" s="166">
        <v>2020</v>
      </c>
      <c r="J453" s="665" t="s">
        <v>1485</v>
      </c>
      <c r="K453" s="666"/>
    </row>
    <row r="454" spans="1:14" hidden="1" outlineLevel="1" x14ac:dyDescent="0.25">
      <c r="A454" s="534" t="str">
        <f>IFERROR(IF(MATCH($B$425&amp;"-"&amp;$B454,'Protocol reference (numerical)'!$A$3:$A$217,0),"yes","x"),"no")</f>
        <v>no</v>
      </c>
      <c r="B454" s="1197">
        <v>14</v>
      </c>
      <c r="C454" s="108" t="s">
        <v>1361</v>
      </c>
      <c r="D454" s="107" t="s">
        <v>401</v>
      </c>
      <c r="E454" s="94" t="s">
        <v>784</v>
      </c>
      <c r="F454" s="9" t="s">
        <v>402</v>
      </c>
      <c r="G454" s="58" t="s">
        <v>403</v>
      </c>
      <c r="H454" s="58">
        <v>2005</v>
      </c>
      <c r="I454" s="57">
        <v>2030</v>
      </c>
      <c r="J454" s="608" t="s">
        <v>1466</v>
      </c>
      <c r="K454" s="628">
        <v>0.32</v>
      </c>
      <c r="L454" s="791" t="s">
        <v>1362</v>
      </c>
    </row>
    <row r="455" spans="1:14" hidden="1" outlineLevel="1" x14ac:dyDescent="0.25">
      <c r="A455" s="534" t="str">
        <f>IFERROR(IF(MATCH($B$425&amp;"-"&amp;$B455,'Protocol reference (numerical)'!$A$3:$A$217,0),"yes","x"),"no")</f>
        <v>no</v>
      </c>
      <c r="B455" s="1197">
        <v>15</v>
      </c>
      <c r="C455" s="108" t="s">
        <v>1364</v>
      </c>
      <c r="D455" s="107" t="s">
        <v>1365</v>
      </c>
      <c r="E455" s="94" t="s">
        <v>784</v>
      </c>
      <c r="F455" s="9" t="s">
        <v>1366</v>
      </c>
      <c r="G455" s="58" t="s">
        <v>1347</v>
      </c>
      <c r="H455" s="58">
        <v>2010</v>
      </c>
      <c r="I455" s="57">
        <v>2030</v>
      </c>
      <c r="J455" s="608" t="s">
        <v>784</v>
      </c>
      <c r="K455" s="626"/>
    </row>
    <row r="456" spans="1:14" hidden="1" outlineLevel="1" x14ac:dyDescent="0.25">
      <c r="A456" s="534" t="str">
        <f>IFERROR(IF(MATCH($B$425&amp;"-"&amp;$B456,'Protocol reference (numerical)'!$A$3:$A$217,0),"yes","x"),"no")</f>
        <v>no</v>
      </c>
      <c r="B456" s="1207">
        <v>5</v>
      </c>
      <c r="C456" s="161" t="s">
        <v>1367</v>
      </c>
      <c r="D456" s="162" t="s">
        <v>1368</v>
      </c>
      <c r="E456" s="163" t="s">
        <v>784</v>
      </c>
      <c r="F456" s="164"/>
      <c r="G456" s="165"/>
      <c r="H456" s="165"/>
      <c r="I456" s="166"/>
      <c r="J456" s="665" t="s">
        <v>784</v>
      </c>
      <c r="K456" s="666"/>
    </row>
    <row r="457" spans="1:14" hidden="1" outlineLevel="1" x14ac:dyDescent="0.25">
      <c r="A457" s="534" t="str">
        <f>IFERROR(IF(MATCH($B$425&amp;"-"&amp;$B457,'Protocol reference (numerical)'!$A$3:$A$217,0),"yes","x"),"no")</f>
        <v>no</v>
      </c>
      <c r="B457" s="1210" t="s">
        <v>3</v>
      </c>
      <c r="C457" s="1211" t="s">
        <v>1369</v>
      </c>
      <c r="D457" s="1212" t="s">
        <v>1370</v>
      </c>
      <c r="E457" s="401" t="s">
        <v>784</v>
      </c>
      <c r="F457" s="498" t="s">
        <v>1371</v>
      </c>
      <c r="G457" s="331" t="s">
        <v>1372</v>
      </c>
      <c r="H457" s="331" t="s">
        <v>374</v>
      </c>
      <c r="I457" s="632">
        <v>2025</v>
      </c>
      <c r="J457" s="613" t="s">
        <v>784</v>
      </c>
      <c r="K457" s="661"/>
      <c r="L457" s="791" t="s">
        <v>2256</v>
      </c>
    </row>
    <row r="458" spans="1:14" hidden="1" outlineLevel="1" x14ac:dyDescent="0.25">
      <c r="A458" s="534" t="str">
        <f>IFERROR(IF(MATCH($B$425&amp;"-"&amp;$B458,'Protocol reference (numerical)'!$A$3:$A$217,0),"yes","x"),"no")</f>
        <v>no</v>
      </c>
      <c r="B458" s="1209" t="s">
        <v>700</v>
      </c>
      <c r="C458" s="167"/>
      <c r="D458" s="168"/>
      <c r="E458" s="154" t="s">
        <v>784</v>
      </c>
      <c r="F458" s="133" t="s">
        <v>1373</v>
      </c>
      <c r="G458" s="169" t="s">
        <v>1374</v>
      </c>
      <c r="H458" s="169" t="s">
        <v>374</v>
      </c>
      <c r="I458" s="170">
        <v>2025</v>
      </c>
      <c r="J458" s="662" t="s">
        <v>784</v>
      </c>
      <c r="K458" s="662"/>
    </row>
    <row r="459" spans="1:14" collapsed="1" x14ac:dyDescent="0.25">
      <c r="B459" s="146"/>
      <c r="C459" s="171"/>
      <c r="D459" s="172"/>
      <c r="E459" s="148"/>
      <c r="F459" s="147"/>
      <c r="G459" s="60"/>
      <c r="H459" s="60"/>
      <c r="I459" s="60"/>
      <c r="J459" s="60"/>
      <c r="K459" s="60"/>
    </row>
    <row r="460" spans="1:14" ht="23.25" x14ac:dyDescent="0.35">
      <c r="B460" s="286" t="s">
        <v>1738</v>
      </c>
      <c r="C460" s="284" t="s">
        <v>334</v>
      </c>
      <c r="D460" s="284" t="s">
        <v>335</v>
      </c>
      <c r="E460" s="287" t="s">
        <v>336</v>
      </c>
      <c r="F460" s="284" t="s">
        <v>1419</v>
      </c>
      <c r="G460" s="858" t="s">
        <v>337</v>
      </c>
      <c r="H460" s="858" t="s">
        <v>2</v>
      </c>
      <c r="I460" s="833" t="s">
        <v>338</v>
      </c>
      <c r="J460" s="285" t="s">
        <v>1418</v>
      </c>
      <c r="K460" s="833" t="s">
        <v>2201</v>
      </c>
      <c r="L460" s="798" t="s">
        <v>690</v>
      </c>
      <c r="M460" s="97"/>
    </row>
    <row r="461" spans="1:14" s="290" customFormat="1" ht="45" hidden="1" outlineLevel="1" x14ac:dyDescent="0.25">
      <c r="A461" s="534"/>
      <c r="B461" s="685" t="s">
        <v>289</v>
      </c>
      <c r="C461" s="686"/>
      <c r="D461" s="687"/>
      <c r="E461" s="687" t="s">
        <v>784</v>
      </c>
      <c r="F461" s="687"/>
      <c r="G461" s="919" t="s">
        <v>287</v>
      </c>
      <c r="H461" s="895"/>
      <c r="I461" s="895">
        <v>2030</v>
      </c>
      <c r="J461" s="687"/>
      <c r="K461" s="854"/>
      <c r="L461" s="791"/>
      <c r="M461" s="791"/>
      <c r="N461" s="669"/>
    </row>
    <row r="462" spans="1:14" ht="45" hidden="1" outlineLevel="1" x14ac:dyDescent="0.25">
      <c r="B462" s="688" t="s">
        <v>276</v>
      </c>
      <c r="C462" s="317" t="s">
        <v>2390</v>
      </c>
      <c r="D462" s="318"/>
      <c r="E462" s="318" t="s">
        <v>784</v>
      </c>
      <c r="F462" s="318"/>
      <c r="G462" s="920" t="s">
        <v>277</v>
      </c>
      <c r="H462" s="896"/>
      <c r="I462" s="896"/>
      <c r="J462" s="318"/>
      <c r="K462" s="855"/>
      <c r="L462" s="97"/>
      <c r="M462" s="97"/>
    </row>
    <row r="463" spans="1:14" ht="30" hidden="1" outlineLevel="1" x14ac:dyDescent="0.25">
      <c r="B463" s="689" t="s">
        <v>276</v>
      </c>
      <c r="C463" s="319"/>
      <c r="D463" s="320"/>
      <c r="E463" s="320" t="s">
        <v>784</v>
      </c>
      <c r="F463" s="320"/>
      <c r="G463" s="921" t="s">
        <v>275</v>
      </c>
      <c r="H463" s="897"/>
      <c r="I463" s="897">
        <v>2025</v>
      </c>
      <c r="J463" s="320"/>
      <c r="K463" s="856"/>
      <c r="L463" s="97"/>
      <c r="M463" s="97"/>
    </row>
    <row r="464" spans="1:14" hidden="1" outlineLevel="1" x14ac:dyDescent="0.25">
      <c r="B464" s="688" t="s">
        <v>242</v>
      </c>
      <c r="C464" s="317"/>
      <c r="D464" s="318"/>
      <c r="E464" s="318" t="s">
        <v>784</v>
      </c>
      <c r="F464" s="318"/>
      <c r="G464" s="920" t="s">
        <v>241</v>
      </c>
      <c r="H464" s="896"/>
      <c r="I464" s="896">
        <v>2030</v>
      </c>
      <c r="J464" s="318"/>
      <c r="K464" s="855"/>
      <c r="L464" s="97"/>
      <c r="M464" s="97"/>
    </row>
    <row r="465" spans="2:13" ht="30" hidden="1" outlineLevel="1" x14ac:dyDescent="0.25">
      <c r="B465" s="688" t="s">
        <v>230</v>
      </c>
      <c r="C465" s="317"/>
      <c r="D465" s="318"/>
      <c r="E465" s="318" t="s">
        <v>784</v>
      </c>
      <c r="F465" s="318"/>
      <c r="G465" s="920" t="s">
        <v>229</v>
      </c>
      <c r="H465" s="896"/>
      <c r="I465" s="896">
        <v>2030</v>
      </c>
      <c r="J465" s="318"/>
      <c r="K465" s="855"/>
      <c r="L465" s="97"/>
      <c r="M465" s="97"/>
    </row>
    <row r="466" spans="2:13" hidden="1" outlineLevel="1" x14ac:dyDescent="0.25">
      <c r="B466" s="690"/>
      <c r="C466" s="319"/>
      <c r="D466" s="320"/>
      <c r="E466" s="320" t="s">
        <v>784</v>
      </c>
      <c r="F466" s="320"/>
      <c r="G466" s="921" t="s">
        <v>228</v>
      </c>
      <c r="H466" s="897"/>
      <c r="I466" s="897"/>
      <c r="J466" s="320"/>
      <c r="K466" s="856"/>
      <c r="L466" s="97"/>
      <c r="M466" s="97"/>
    </row>
    <row r="467" spans="2:13" hidden="1" outlineLevel="1" x14ac:dyDescent="0.25">
      <c r="B467" s="691"/>
      <c r="C467" s="317"/>
      <c r="D467" s="318"/>
      <c r="E467" s="318" t="s">
        <v>784</v>
      </c>
      <c r="F467" s="318"/>
      <c r="G467" s="920" t="s">
        <v>227</v>
      </c>
      <c r="H467" s="896"/>
      <c r="I467" s="896"/>
      <c r="J467" s="318"/>
      <c r="K467" s="855"/>
      <c r="L467" s="97"/>
      <c r="M467" s="97"/>
    </row>
    <row r="468" spans="2:13" ht="30" hidden="1" outlineLevel="1" x14ac:dyDescent="0.25">
      <c r="B468" s="690"/>
      <c r="C468" s="319"/>
      <c r="D468" s="320"/>
      <c r="E468" s="320" t="s">
        <v>784</v>
      </c>
      <c r="F468" s="320"/>
      <c r="G468" s="921" t="s">
        <v>226</v>
      </c>
      <c r="H468" s="897"/>
      <c r="I468" s="897"/>
      <c r="J468" s="320"/>
      <c r="K468" s="856"/>
      <c r="L468" s="97"/>
      <c r="M468" s="97"/>
    </row>
    <row r="469" spans="2:13" ht="30" hidden="1" outlineLevel="1" x14ac:dyDescent="0.25">
      <c r="B469" s="688" t="s">
        <v>167</v>
      </c>
      <c r="C469" s="317"/>
      <c r="D469" s="318"/>
      <c r="E469" s="318" t="s">
        <v>784</v>
      </c>
      <c r="F469" s="318"/>
      <c r="G469" s="920" t="s">
        <v>166</v>
      </c>
      <c r="H469" s="896"/>
      <c r="I469" s="896">
        <v>2025</v>
      </c>
      <c r="J469" s="318"/>
      <c r="K469" s="855"/>
      <c r="L469" s="97"/>
      <c r="M469" s="97"/>
    </row>
    <row r="470" spans="2:13" hidden="1" outlineLevel="1" x14ac:dyDescent="0.25">
      <c r="B470" s="692" t="s">
        <v>154</v>
      </c>
      <c r="C470" s="693"/>
      <c r="D470" s="694"/>
      <c r="E470" s="694" t="s">
        <v>784</v>
      </c>
      <c r="F470" s="694"/>
      <c r="G470" s="922" t="s">
        <v>153</v>
      </c>
      <c r="H470" s="898"/>
      <c r="I470" s="898">
        <v>2030</v>
      </c>
      <c r="J470" s="694"/>
      <c r="K470" s="857"/>
      <c r="L470" s="97"/>
      <c r="M470" s="97"/>
    </row>
    <row r="471" spans="2:13" collapsed="1" x14ac:dyDescent="0.25">
      <c r="B471" s="323"/>
    </row>
  </sheetData>
  <autoFilter ref="A9:N48" xr:uid="{00000000-0009-0000-0000-000006000000}"/>
  <dataConsolidate/>
  <mergeCells count="1">
    <mergeCell ref="L93:L94"/>
  </mergeCells>
  <hyperlinks>
    <hyperlink ref="D179:D185" r:id="rId1" tooltip="Roadmap to a single European transport area" display="http://www.climatepolicydatabase.org/index.php?title=Roadmap_to_a_single_European_transport_area" xr:uid="{00000000-0004-0000-0600-000000000000}"/>
    <hyperlink ref="M428" r:id="rId2" xr:uid="{00000000-0004-0000-0600-000001000000}"/>
    <hyperlink ref="M430" r:id="rId3" xr:uid="{00000000-0004-0000-0600-000002000000}"/>
    <hyperlink ref="M64" r:id="rId4" xr:uid="{00000000-0004-0000-0600-000003000000}"/>
    <hyperlink ref="L408" r:id="rId5" xr:uid="{00000000-0004-0000-0600-000004000000}"/>
    <hyperlink ref="D88" r:id="rId6" xr:uid="{00000000-0004-0000-0600-000005000000}"/>
    <hyperlink ref="D99" r:id="rId7" xr:uid="{00000000-0004-0000-0600-000006000000}"/>
    <hyperlink ref="D93" r:id="rId8" xr:uid="{00000000-0004-0000-0600-000007000000}"/>
    <hyperlink ref="D101" r:id="rId9" xr:uid="{00000000-0004-0000-0600-000008000000}"/>
    <hyperlink ref="D96" r:id="rId10" xr:uid="{00000000-0004-0000-0600-000009000000}"/>
    <hyperlink ref="D91" r:id="rId11" xr:uid="{00000000-0004-0000-0600-00000A000000}"/>
    <hyperlink ref="D87" r:id="rId12" xr:uid="{00000000-0004-0000-0600-00000B000000}"/>
    <hyperlink ref="D89" r:id="rId13" xr:uid="{00000000-0004-0000-0600-00000C000000}"/>
    <hyperlink ref="D97" r:id="rId14" xr:uid="{00000000-0004-0000-0600-00000D000000}"/>
    <hyperlink ref="D393" r:id="rId15" xr:uid="{00000000-0004-0000-0600-00000E000000}"/>
    <hyperlink ref="D395" r:id="rId16" xr:uid="{00000000-0004-0000-0600-00000F000000}"/>
    <hyperlink ref="D397" r:id="rId17" xr:uid="{00000000-0004-0000-0600-000010000000}"/>
    <hyperlink ref="D386" r:id="rId18" xr:uid="{00000000-0004-0000-0600-000011000000}"/>
    <hyperlink ref="D387" r:id="rId19" xr:uid="{00000000-0004-0000-0600-000012000000}"/>
    <hyperlink ref="D388" r:id="rId20" xr:uid="{00000000-0004-0000-0600-000013000000}"/>
    <hyperlink ref="D389" r:id="rId21" xr:uid="{00000000-0004-0000-0600-000014000000}"/>
    <hyperlink ref="D392" r:id="rId22" xr:uid="{00000000-0004-0000-0600-000015000000}"/>
    <hyperlink ref="D396" r:id="rId23" xr:uid="{00000000-0004-0000-0600-000016000000}"/>
    <hyperlink ref="D398" r:id="rId24" xr:uid="{00000000-0004-0000-0600-000017000000}"/>
    <hyperlink ref="D399" r:id="rId25" xr:uid="{00000000-0004-0000-0600-000018000000}"/>
    <hyperlink ref="D408" r:id="rId26" display="Renewables INDC target Turkey 2015 " xr:uid="{00000000-0004-0000-0600-000019000000}"/>
    <hyperlink ref="D409" r:id="rId27" display="Renewables INDC target Turkey 2015 " xr:uid="{00000000-0004-0000-0600-00001A000000}"/>
    <hyperlink ref="D410" r:id="rId28" display="Renewables INDC target Turkey 2015 " xr:uid="{00000000-0004-0000-0600-00001B000000}"/>
    <hyperlink ref="D418" r:id="rId29" xr:uid="{00000000-0004-0000-0600-00001C000000}"/>
    <hyperlink ref="D417" r:id="rId30" xr:uid="{00000000-0004-0000-0600-00001D000000}"/>
    <hyperlink ref="D419" r:id="rId31" xr:uid="{00000000-0004-0000-0600-00001E000000}"/>
    <hyperlink ref="D420:D423" r:id="rId32" display="Climate Change Action Plan 2011-2023 Turkey 2011 " xr:uid="{00000000-0004-0000-0600-00001F000000}"/>
    <hyperlink ref="D411" r:id="rId33" xr:uid="{00000000-0004-0000-0600-000020000000}"/>
    <hyperlink ref="D404" r:id="rId34" xr:uid="{00000000-0004-0000-0600-000021000000}"/>
    <hyperlink ref="D406" r:id="rId35" xr:uid="{00000000-0004-0000-0600-000022000000}"/>
    <hyperlink ref="D407" r:id="rId36" xr:uid="{00000000-0004-0000-0600-000023000000}"/>
    <hyperlink ref="D52" r:id="rId37" xr:uid="{00000000-0004-0000-0600-000024000000}"/>
    <hyperlink ref="D58" r:id="rId38" xr:uid="{00000000-0004-0000-0600-000025000000}"/>
    <hyperlink ref="D59" r:id="rId39" xr:uid="{00000000-0004-0000-0600-000026000000}"/>
    <hyperlink ref="D60" r:id="rId40" xr:uid="{00000000-0004-0000-0600-000027000000}"/>
    <hyperlink ref="D61" r:id="rId41" xr:uid="{00000000-0004-0000-0600-000028000000}"/>
    <hyperlink ref="D63" r:id="rId42" xr:uid="{00000000-0004-0000-0600-000029000000}"/>
    <hyperlink ref="D67" r:id="rId43" xr:uid="{00000000-0004-0000-0600-00002A000000}"/>
    <hyperlink ref="D68" r:id="rId44" xr:uid="{00000000-0004-0000-0600-00002B000000}"/>
    <hyperlink ref="D81" r:id="rId45" xr:uid="{00000000-0004-0000-0600-00002C000000}"/>
    <hyperlink ref="D66" r:id="rId46" xr:uid="{00000000-0004-0000-0600-00002D000000}"/>
    <hyperlink ref="D70" r:id="rId47" xr:uid="{00000000-0004-0000-0600-00002E000000}"/>
    <hyperlink ref="D73" r:id="rId48" display="Renewables INDC target Brazil 2015" xr:uid="{00000000-0004-0000-0600-00002F000000}"/>
    <hyperlink ref="D74" r:id="rId49" display="Renewables INDC target Brazil 2015" xr:uid="{00000000-0004-0000-0600-000030000000}"/>
    <hyperlink ref="D75" r:id="rId50" display="Renewables INDC target Brazil 2015" xr:uid="{00000000-0004-0000-0600-000031000000}"/>
    <hyperlink ref="D72" r:id="rId51" xr:uid="{00000000-0004-0000-0600-000032000000}"/>
    <hyperlink ref="D83" r:id="rId52" xr:uid="{00000000-0004-0000-0600-000033000000}"/>
    <hyperlink ref="M68" r:id="rId53" xr:uid="{00000000-0004-0000-0600-000034000000}"/>
    <hyperlink ref="D78" r:id="rId54" display="Biofuel INDC target Brazil 2015 " xr:uid="{00000000-0004-0000-0600-000035000000}"/>
    <hyperlink ref="D79" r:id="rId55" display="Energy efficiency INDC target Brazil 2015 " xr:uid="{00000000-0004-0000-0600-000036000000}"/>
    <hyperlink ref="D76" r:id="rId56" display="INDC LULUCF policy" xr:uid="{00000000-0004-0000-0600-000037000000}"/>
    <hyperlink ref="D77" r:id="rId57" display="INDC LULUCF policy" xr:uid="{00000000-0004-0000-0600-000038000000}"/>
    <hyperlink ref="D187" r:id="rId58" xr:uid="{00000000-0004-0000-0600-000039000000}"/>
    <hyperlink ref="D192" r:id="rId59" xr:uid="{00000000-0004-0000-0600-00003A000000}"/>
    <hyperlink ref="D211" r:id="rId60" xr:uid="{00000000-0004-0000-0600-00003B000000}"/>
    <hyperlink ref="D206" r:id="rId61" xr:uid="{00000000-0004-0000-0600-00003C000000}"/>
    <hyperlink ref="D200" r:id="rId62" xr:uid="{00000000-0004-0000-0600-00003D000000}"/>
    <hyperlink ref="D201" r:id="rId63" xr:uid="{00000000-0004-0000-0600-00003E000000}"/>
    <hyperlink ref="D218" r:id="rId64" xr:uid="{00000000-0004-0000-0600-00003F000000}"/>
    <hyperlink ref="D221" r:id="rId65" xr:uid="{00000000-0004-0000-0600-000040000000}"/>
    <hyperlink ref="D202" r:id="rId66" xr:uid="{00000000-0004-0000-0600-000041000000}"/>
    <hyperlink ref="D213" r:id="rId67" display="http://www.climatepolicydatabase.org/index.php?title=Government_Assistance_for_Small_Hydropower_Stations_India_2003" xr:uid="{00000000-0004-0000-0600-000042000000}"/>
    <hyperlink ref="D210" r:id="rId68" xr:uid="{00000000-0004-0000-0600-000043000000}"/>
    <hyperlink ref="D216" r:id="rId69" xr:uid="{00000000-0004-0000-0600-000044000000}"/>
    <hyperlink ref="D208" r:id="rId70" xr:uid="{00000000-0004-0000-0600-000045000000}"/>
    <hyperlink ref="D215" r:id="rId71" xr:uid="{00000000-0004-0000-0600-000046000000}"/>
    <hyperlink ref="L213" r:id="rId72" xr:uid="{00000000-0004-0000-0600-000047000000}"/>
    <hyperlink ref="L302" r:id="rId73" xr:uid="{00000000-0004-0000-0600-000048000000}"/>
    <hyperlink ref="D295" r:id="rId74" xr:uid="{00000000-0004-0000-0600-000049000000}"/>
    <hyperlink ref="D294" r:id="rId75" xr:uid="{00000000-0004-0000-0600-00004A000000}"/>
    <hyperlink ref="D287" r:id="rId76" xr:uid="{00000000-0004-0000-0600-00004B000000}"/>
    <hyperlink ref="D286" r:id="rId77" xr:uid="{00000000-0004-0000-0600-00004C000000}"/>
    <hyperlink ref="D284" r:id="rId78" xr:uid="{00000000-0004-0000-0600-00004D000000}"/>
    <hyperlink ref="D283" r:id="rId79" xr:uid="{00000000-0004-0000-0600-00004E000000}"/>
    <hyperlink ref="D296" r:id="rId80" xr:uid="{00000000-0004-0000-0600-00004F000000}"/>
    <hyperlink ref="D298" r:id="rId81" xr:uid="{00000000-0004-0000-0600-000050000000}"/>
    <hyperlink ref="D299" r:id="rId82" xr:uid="{00000000-0004-0000-0600-000051000000}"/>
    <hyperlink ref="D301" r:id="rId83" xr:uid="{00000000-0004-0000-0600-000052000000}"/>
    <hyperlink ref="D302" r:id="rId84" xr:uid="{00000000-0004-0000-0600-000053000000}"/>
    <hyperlink ref="D303" r:id="rId85" xr:uid="{00000000-0004-0000-0600-000054000000}"/>
    <hyperlink ref="D304" r:id="rId86" xr:uid="{00000000-0004-0000-0600-000055000000}"/>
    <hyperlink ref="D305" r:id="rId87" xr:uid="{00000000-0004-0000-0600-000056000000}"/>
    <hyperlink ref="D307" r:id="rId88" xr:uid="{00000000-0004-0000-0600-000057000000}"/>
    <hyperlink ref="D308" r:id="rId89" xr:uid="{00000000-0004-0000-0600-000058000000}"/>
    <hyperlink ref="D309" r:id="rId90" xr:uid="{00000000-0004-0000-0600-000059000000}"/>
    <hyperlink ref="D310" r:id="rId91" xr:uid="{00000000-0004-0000-0600-00005A000000}"/>
    <hyperlink ref="D311" r:id="rId92" xr:uid="{00000000-0004-0000-0600-00005B000000}"/>
    <hyperlink ref="D236" r:id="rId93" xr:uid="{00000000-0004-0000-0600-00005C000000}"/>
    <hyperlink ref="D232" r:id="rId94" xr:uid="{00000000-0004-0000-0600-00005D000000}"/>
    <hyperlink ref="D233" r:id="rId95" xr:uid="{00000000-0004-0000-0600-00005E000000}"/>
    <hyperlink ref="D239" r:id="rId96" xr:uid="{00000000-0004-0000-0600-00005F000000}"/>
    <hyperlink ref="D237" r:id="rId97" xr:uid="{00000000-0004-0000-0600-000060000000}"/>
    <hyperlink ref="D224" r:id="rId98" display="INDC target Indonesia 2015" xr:uid="{00000000-0004-0000-0600-000061000000}"/>
    <hyperlink ref="D235" r:id="rId99" xr:uid="{00000000-0004-0000-0600-000062000000}"/>
    <hyperlink ref="D226" r:id="rId100" xr:uid="{00000000-0004-0000-0600-000063000000}"/>
    <hyperlink ref="D238" r:id="rId101" xr:uid="{00000000-0004-0000-0600-000064000000}"/>
    <hyperlink ref="D229" r:id="rId102" xr:uid="{00000000-0004-0000-0600-000065000000}"/>
    <hyperlink ref="D230" r:id="rId103" xr:uid="{00000000-0004-0000-0600-000066000000}"/>
    <hyperlink ref="D225" r:id="rId104" xr:uid="{00000000-0004-0000-0600-000067000000}"/>
    <hyperlink ref="D240" r:id="rId105" xr:uid="{00000000-0004-0000-0600-000068000000}"/>
    <hyperlink ref="D234" r:id="rId106" xr:uid="{00000000-0004-0000-0600-000069000000}"/>
    <hyperlink ref="M98" r:id="rId107" xr:uid="{00000000-0004-0000-0600-00006A000000}"/>
    <hyperlink ref="M88" r:id="rId108" xr:uid="{00000000-0004-0000-0600-00006B000000}"/>
    <hyperlink ref="M90" r:id="rId109" xr:uid="{00000000-0004-0000-0600-00006C000000}"/>
    <hyperlink ref="D178:D185" r:id="rId110" tooltip="Roadmap to a single European transport area" display="http://www.climatepolicydatabase.org/index.php?title=Roadmap_to_a_single_European_transport_area" xr:uid="{00000000-0004-0000-0600-00006D000000}"/>
    <hyperlink ref="D10" r:id="rId111" tooltip="Intended Nationally Determined Contribution" display="http://climatepolicydatabase.org/index.php?title=Intended_Nationally_Determined_Contribution" xr:uid="{00000000-0004-0000-0600-00006E000000}"/>
    <hyperlink ref="D11" r:id="rId112" tooltip="Intended Nationally Determined Contribution" display="http://climatepolicydatabase.org/index.php?title=Intended_Nationally_Determined_Contribution" xr:uid="{00000000-0004-0000-0600-00006F000000}"/>
    <hyperlink ref="D12" r:id="rId113" tooltip="Law 26.093 (2006) Regimen of Regulation and Promotion of the Production and Sustainable Use of Biofuels Argentina 2006" display="http://climatepolicydatabase.org/index.php?title=Law_26.093_(2006)_Regimen_of_Regulation_and_Promotion_of_the_Production_and_Sustainable_Use_of_Biofuels_Argentina_2006" xr:uid="{00000000-0004-0000-0600-000070000000}"/>
    <hyperlink ref="D13" r:id="rId114" tooltip="Law 26.093 (2006) Regimen of Regulation and Promotion of the Production and Sustainable Use of Biofuels Argentina 2006" display="http://climatepolicydatabase.org/index.php?title=Law_26.093_(2006)_Regimen_of_Regulation_and_Promotion_of_the_Production_and_Sustainable_Use_of_Biofuels_Argentina_2006" xr:uid="{00000000-0004-0000-0600-000071000000}"/>
    <hyperlink ref="D14" r:id="rId115" tooltip="Law 27191 on renewable energy" display="http://climatepolicydatabase.org/index.php?title=Law_27191_on_renewable_energy" xr:uid="{00000000-0004-0000-0600-000072000000}"/>
    <hyperlink ref="D15:D22" r:id="rId116" tooltip="Law 27191 on renewable energy" display="http://climatepolicydatabase.org/index.php?title=Law_27191_on_renewable_energy" xr:uid="{00000000-0004-0000-0600-000073000000}"/>
    <hyperlink ref="D29" r:id="rId117" tooltip="Law 26.331 for the Environmental Protection of Native Forests Argentina 2007" display="http://climatepolicydatabase.org/index.php?title=Law_26.331_for_the_Environmental_Protection_of_Native_Forests_Argentina_2007" xr:uid="{00000000-0004-0000-0600-000074000000}"/>
    <hyperlink ref="D27" r:id="rId118" tooltip="Law 26.473 Prohibiting commercialisation of incandescent light bulbs Argentina 2010" display="http://climatepolicydatabase.org/index.php?title=Law_26.473_Prohibiting_commercialisation_of_incandescent_light_bulbs_Argentina_2010" xr:uid="{00000000-0004-0000-0600-000075000000}"/>
    <hyperlink ref="D23" r:id="rId119" tooltip="PROBIOMASA: Project for the Promotion of Energy from Biomass Argentina 2013" display="http://climatepolicydatabase.org/index.php?title=PROBIOMASA:_Project_for_the_Promotion_of_Energy_from_Biomass_Argentina_2013" xr:uid="{00000000-0004-0000-0600-000076000000}"/>
    <hyperlink ref="D24" r:id="rId120" tooltip="PROBIOMASA: Project for the Promotion of Energy from Biomass Argentina 2013" display="http://climatepolicydatabase.org/index.php?title=PROBIOMASA:_Project_for_the_Promotion_of_Energy_from_Biomass_Argentina_2013" xr:uid="{00000000-0004-0000-0600-000077000000}"/>
    <hyperlink ref="D25" r:id="rId121" tooltip="National Program for Rational and Efficient Use of Energy (PRONUREE) Argentina 2007" display="http://climatepolicydatabase.org/index.php?title=National_Program_for_Rational_and_Efficient_Use_of_Energy_(PRONUREE)_Argentina_2007" xr:uid="{00000000-0004-0000-0600-000078000000}"/>
    <hyperlink ref="D26" r:id="rId122" tooltip="National Program for Rational and Efficient Use of Energy (PRONUREE) Argentina 2007" display="http://climatepolicydatabase.org/index.php?title=National_Program_for_Rational_and_Efficient_Use_of_Energy_(PRONUREE)_Argentina_2007" xr:uid="{00000000-0004-0000-0600-000079000000}"/>
    <hyperlink ref="D28" r:id="rId123" tooltip="Law No. 25.080 / 99 Investment in Forestry Argentina 1999" display="http://climatepolicydatabase.org/index.php?title=Law_No._25.080_/_99_Investment_in_Forestry_Argentina_1999" xr:uid="{00000000-0004-0000-0600-00007A000000}"/>
    <hyperlink ref="D35" r:id="rId124" tooltip="Economy-wide INDC target Australia 2015" display="http://climatepolicydatabase.org/index.php?title=Economy-wide_INDC_target_Australia_2015" xr:uid="{00000000-0004-0000-0600-00007B000000}"/>
    <hyperlink ref="D37" r:id="rId125" tooltip="Renewable Energy (Electricity) Act 2000 and associated legislation" display="http://climatepolicydatabase.org/index.php?title=Renewable_Energy_(Electricity)_Act_2000_and_associated_legislation" xr:uid="{00000000-0004-0000-0600-00007C000000}"/>
    <hyperlink ref="D38" r:id="rId126" tooltip="Renewable Energy (Electricity) Act 2000 and associated legislation" display="http://climatepolicydatabase.org/index.php?title=Renewable_Energy_(Electricity)_Act_2000_and_associated_legislation" xr:uid="{00000000-0004-0000-0600-00007D000000}"/>
    <hyperlink ref="D39" r:id="rId127" tooltip="Renewable Energy (Electricity) Act 2000 and associated legislation" display="http://climatepolicydatabase.org/index.php?title=Renewable_Energy_(Electricity)_Act_2000_and_associated_legislation" xr:uid="{00000000-0004-0000-0600-00007E000000}"/>
    <hyperlink ref="D40" r:id="rId128" tooltip="Emissions Reduction Fund Australia 2014" display="http://climatepolicydatabase.org/index.php?title=Emissions_Reduction_Fund_Australia_2014" xr:uid="{00000000-0004-0000-0600-00007F000000}"/>
    <hyperlink ref="D42" r:id="rId129" tooltip="Energy Productivity Plan" display="http://climatepolicydatabase.org/index.php?title=Energy_Productivity_Plan" xr:uid="{00000000-0004-0000-0600-000080000000}"/>
    <hyperlink ref="D47" r:id="rId130" tooltip="20 Million Trees Australia" display="http://climatepolicydatabase.org/index.php?title=20_Million_Trees_Australia" xr:uid="{00000000-0004-0000-0600-000081000000}"/>
    <hyperlink ref="D48" r:id="rId131" tooltip="HFC emissions reduction target Australia 2016" display="http://climatepolicydatabase.org/index.php?title=HFC_emissions_reduction_target_Australia_2016" xr:uid="{00000000-0004-0000-0600-000082000000}"/>
    <hyperlink ref="D36" r:id="rId132" tooltip="Renewable Energy Amendment Act 2015" display="http://climatepolicydatabase.org/index.php?title=Renewable_Energy_Amendment_Act_2015" xr:uid="{00000000-0004-0000-0600-000083000000}"/>
    <hyperlink ref="D46" r:id="rId133" tooltip="CCS Flagships Programme Australia 2009" display="http://climatepolicydatabase.org/index.php?title=CCS_Flagships_Programme_Australia_2009" xr:uid="{00000000-0004-0000-0600-000084000000}"/>
    <hyperlink ref="D43" r:id="rId134" tooltip="Fuel Tax Reform" display="http://climatepolicydatabase.org/index.php?title=Fuel_Tax_Reform" xr:uid="{00000000-0004-0000-0600-000085000000}"/>
    <hyperlink ref="D44" r:id="rId135" tooltip="Fuel Quality Standards Act 2000" display="http://climatepolicydatabase.org/index.php?title=Fuel_Quality_Standards_Act_2000" xr:uid="{00000000-0004-0000-0600-000086000000}"/>
    <hyperlink ref="D45" r:id="rId136" tooltip="Greenhouse and Energy Minimum Standards Act 2012 Australia 2012" display="http://climatepolicydatabase.org/index.php?title=Greenhouse_and_Energy_Minimum_Standards_Act_2012_Australia_2012" xr:uid="{00000000-0004-0000-0600-000087000000}"/>
    <hyperlink ref="D129" r:id="rId137" tooltip="Vehicle Fuel Economy Standards China 2005" display="http://climatepolicydatabase.org/index.php?title=Vehicle_Fuel_Economy_Standards_China_2005" xr:uid="{00000000-0004-0000-0600-000088000000}"/>
    <hyperlink ref="D133" r:id="rId138" tooltip="Industrial Energy Performance Standards China 2007" display="http://climatepolicydatabase.org/index.php?title=Industrial_Energy_Performance_Standards_China_2007" xr:uid="{00000000-0004-0000-0600-000089000000}"/>
    <hyperlink ref="D104" r:id="rId139" tooltip="Economy-wide INDC target China 2015" display="http://climatepolicydatabase.org/index.php?title=Economy-wide_INDC_target_China_2015" xr:uid="{00000000-0004-0000-0600-00008A000000}"/>
    <hyperlink ref="D137" r:id="rId140" tooltip="13th Five-Year Plan (2016-2020)" display="http://climatepolicydatabase.org/index.php?title=13th_Five-Year_Plan_(2016-2020)" xr:uid="{00000000-0004-0000-0600-00008B000000}"/>
    <hyperlink ref="D121" r:id="rId141" tooltip="2012 Renewable Energy Electricity feed-in tariff China 2012" display="http://climatepolicydatabase.org/index.php?title=2012_Renewable_Energy_Electricity_feed-in_tariff_China_2012" xr:uid="{00000000-0004-0000-0600-00008C000000}"/>
    <hyperlink ref="D123" r:id="rId142" tooltip="2012 Renewable Energy Electricity feed-in tariff China 2012" display="http://climatepolicydatabase.org/index.php?title=2012_Renewable_Energy_Electricity_feed-in_tariff_China_2012" xr:uid="{00000000-0004-0000-0600-00008D000000}"/>
    <hyperlink ref="D124" r:id="rId143" tooltip="2012 Renewable Energy Electricity feed-in tariff China 2012" display="http://climatepolicydatabase.org/index.php?title=2012_Renewable_Energy_Electricity_feed-in_tariff_China_2012" xr:uid="{00000000-0004-0000-0600-00008E000000}"/>
    <hyperlink ref="D113" r:id="rId144" tooltip="Energy Development Strategy Action Plan (2014-2020) China 2014" display="http://climatepolicydatabase.org/index.php?title=Energy_Development_Strategy_Action_Plan_(2014-2020)_China_2014" xr:uid="{00000000-0004-0000-0600-00008F000000}"/>
    <hyperlink ref="D114" r:id="rId145" tooltip="Energy Development Strategy Action Plan (2014-2020) China 2014" display="http://climatepolicydatabase.org/index.php?title=Energy_Development_Strategy_Action_Plan_(2014-2020)_China_2014" xr:uid="{00000000-0004-0000-0600-000090000000}"/>
    <hyperlink ref="D115" r:id="rId146" tooltip="Energy Development Strategy Action Plan (2014-2020) China 2014" display="http://climatepolicydatabase.org/index.php?title=Energy_Development_Strategy_Action_Plan_(2014-2020)_China_2014" xr:uid="{00000000-0004-0000-0600-000091000000}"/>
    <hyperlink ref="D116" r:id="rId147" tooltip="Energy Development Strategy Action Plan (2014-2020) China 2014" display="http://climatepolicydatabase.org/index.php?title=Energy_Development_Strategy_Action_Plan_(2014-2020)_China_2014" xr:uid="{00000000-0004-0000-0600-000092000000}"/>
    <hyperlink ref="D117" r:id="rId148" tooltip="Energy Development Strategy Action Plan (2014-2020) China 2014" display="http://climatepolicydatabase.org/index.php?title=Energy_Development_Strategy_Action_Plan_(2014-2020)_China_2014" xr:uid="{00000000-0004-0000-0600-000093000000}"/>
    <hyperlink ref="D109" r:id="rId149" tooltip="National Plan For Tackling Climate Change 2014-2020 China 2014" display="http://climatepolicydatabase.org/index.php?title=National_Plan_For_Tackling_Climate_Change_2014-2020_China_2014" xr:uid="{00000000-0004-0000-0600-000094000000}"/>
    <hyperlink ref="D118" r:id="rId150" tooltip="Energy Development Strategy Action Plan (2014-2020) China 2014" display="http://climatepolicydatabase.org/index.php?title=Energy_Development_Strategy_Action_Plan_(2014-2020)_China_2014" xr:uid="{00000000-0004-0000-0600-000095000000}"/>
    <hyperlink ref="D110" r:id="rId151" tooltip="Energy Development Strategy Action Plan (2014-2020) China 2014" display="http://climatepolicydatabase.org/index.php?title=Energy_Development_Strategy_Action_Plan_(2014-2020)_China_2014" xr:uid="{00000000-0004-0000-0600-000096000000}"/>
    <hyperlink ref="D119" r:id="rId152" tooltip="Energy Development Strategy Action Plan (2014-2020) China 2014" display="http://climatepolicydatabase.org/index.php?title=Energy_Development_Strategy_Action_Plan_(2014-2020)_China_2014" xr:uid="{00000000-0004-0000-0600-000097000000}"/>
    <hyperlink ref="D120" r:id="rId153" tooltip="Energy Development Strategy Action Plan (2014-2020) China 2014" display="http://climatepolicydatabase.org/index.php?title=Energy_Development_Strategy_Action_Plan_(2014-2020)_China_2014" xr:uid="{00000000-0004-0000-0600-000098000000}"/>
    <hyperlink ref="D146" r:id="rId154" tooltip="Energy Development Strategy Action Plan (2014-2020) China 2014" display="http://climatepolicydatabase.org/index.php?title=Energy_Development_Strategy_Action_Plan_(2014-2020)_China_2014" xr:uid="{00000000-0004-0000-0600-000099000000}"/>
    <hyperlink ref="D141" r:id="rId155" tooltip="13th Five-Year Plan (2016-2020)" display="http://climatepolicydatabase.org/index.php?title=13th_Five-Year_Plan_(2016-2020)" xr:uid="{00000000-0004-0000-0600-00009A000000}"/>
    <hyperlink ref="D132" r:id="rId156" tooltip="13th Five-Year Plan (2016-2020)" display="http://climatepolicydatabase.org/index.php?title=13th_Five-Year_Plan_(2016-2020)" xr:uid="{00000000-0004-0000-0600-00009B000000}"/>
    <hyperlink ref="D142" r:id="rId157" tooltip="National Building Energy Standard China 2008" display="http://climatepolicydatabase.org/index.php?title=National_Building_Energy_Standard_China_2008" xr:uid="{00000000-0004-0000-0600-00009C000000}"/>
    <hyperlink ref="D105" r:id="rId158" tooltip="Economy-wide INDC target China 2015" display="http://climatepolicydatabase.org/index.php?title=Economy-wide_INDC_target_China_2015" xr:uid="{00000000-0004-0000-0600-00009D000000}"/>
    <hyperlink ref="D108" r:id="rId159" tooltip="Economy-wide INDC target China 2015" display="http://climatepolicydatabase.org/index.php?title=Economy-wide_INDC_target_China_2015" xr:uid="{00000000-0004-0000-0600-00009E000000}"/>
    <hyperlink ref="D139" r:id="rId160" tooltip="Made in China 2025" display="http://climatepolicydatabase.org/index.php?title=Made_in_China_2025" xr:uid="{00000000-0004-0000-0600-00009F000000}"/>
    <hyperlink ref="D140" r:id="rId161" tooltip="Made in China 2025" display="http://climatepolicydatabase.org/index.php?title=Made_in_China_2025" xr:uid="{00000000-0004-0000-0600-0000A0000000}"/>
    <hyperlink ref="D111" r:id="rId162" tooltip="Medium and Long Term Development Plan for Renewable Energy China 2007" display="http://climatepolicydatabase.org/index.php?title=Medium_and_Long_Term_Development_Plan_for_Renewable_Energy_China_2007" xr:uid="{00000000-0004-0000-0600-0000A1000000}"/>
    <hyperlink ref="D145" r:id="rId163" tooltip="Medium and Long-term Plan of Energy Conservation: 10 Energy Conservation Programmes China 2004" display="http://climatepolicydatabase.org/index.php?title=Medium_and_Long-term_Plan_of_Energy_Conservation:_10_Energy_Conservation_Programmes_China_2004" xr:uid="{00000000-0004-0000-0600-0000A2000000}"/>
    <hyperlink ref="D136" r:id="rId164" tooltip="Action Plan for Upgrading of Coal Power Energy Conservation and Emission Reduction Released China 2014" display="http://climatepolicydatabase.org/index.php?title=Action_Plan_for_Upgrading_of_Coal_Power_Energy_Conservation_and_Emission_Reduction_Released_China_2014" xr:uid="{00000000-0004-0000-0600-0000A3000000}"/>
    <hyperlink ref="D106" r:id="rId165" tooltip="Economy-wide INDC target China 2015" display="http://climatepolicydatabase.org/index.php?title=Economy-wide_INDC_target_China_2015" xr:uid="{00000000-0004-0000-0600-0000A4000000}"/>
    <hyperlink ref="D107" r:id="rId166" tooltip="Economy-wide INDC target China 2015" display="http://climatepolicydatabase.org/index.php?title=Economy-wide_INDC_target_China_2015" xr:uid="{00000000-0004-0000-0600-0000A5000000}"/>
    <hyperlink ref="D143" r:id="rId167" tooltip="13th Five-Year Plan (2016-2020)" display="http://climatepolicydatabase.org/index.php?title=13th_Five-Year_Plan_(2016-2020)" xr:uid="{00000000-0004-0000-0600-0000A6000000}"/>
    <hyperlink ref="D138" r:id="rId168" tooltip="National Plan For Tackling Climate Change 2014-2020 China 2014" display="http://climatepolicydatabase.org/index.php?title=National_Plan_For_Tackling_Climate_Change_2014-2020_China_2014" xr:uid="{00000000-0004-0000-0600-0000A7000000}"/>
    <hyperlink ref="D149" r:id="rId169" tooltip="National Plan For Tackling Climate Change 2014-2020 China 2014" display="http://climatepolicydatabase.org/index.php?title=National_Plan_For_Tackling_Climate_Change_2014-2020_China_2014" xr:uid="{00000000-0004-0000-0600-0000A8000000}"/>
    <hyperlink ref="D181:D185" r:id="rId170" tooltip="Roadmap to a single European transport area" display="http://www.climatepolicydatabase.org/index.php?title=Roadmap_to_a_single_European_transport_area" xr:uid="{00000000-0004-0000-0600-0000A9000000}"/>
    <hyperlink ref="D152" r:id="rId171" tooltip="INDC target European Union 2015" display="http://climatepolicydatabase.org/index.php?title=INDC_target_European_Union_2015" xr:uid="{00000000-0004-0000-0600-0000AA000000}"/>
    <hyperlink ref="D153" r:id="rId172" tooltip="2020 Climate and Energy Package European Union 2009" display="http://climatepolicydatabase.org/index.php?title=2020_Climate_and_Energy_Package_European_Union_2009" xr:uid="{00000000-0004-0000-0600-0000AB000000}"/>
    <hyperlink ref="D154" r:id="rId173" tooltip="2020 Climate and Energy Package European Union 2009" display="http://climatepolicydatabase.org/index.php?title=2020_Climate_and_Energy_Package_European_Union_2009" xr:uid="{00000000-0004-0000-0600-0000AC000000}"/>
    <hyperlink ref="D155" r:id="rId174" tooltip="2020 Climate and Energy Package European Union 2009" display="http://climatepolicydatabase.org/index.php?title=2020_Climate_and_Energy_Package_European_Union_2009" xr:uid="{00000000-0004-0000-0600-0000AD000000}"/>
    <hyperlink ref="D156" r:id="rId175" tooltip="2030 framework for climate and energy policies (strategic document) European Union 2014" display="http://climatepolicydatabase.org/index.php?title=2030_framework_for_climate_and_energy_policies_(strategic_document)_European_Union_2014" xr:uid="{00000000-0004-0000-0600-0000AE000000}"/>
    <hyperlink ref="D157" r:id="rId176" tooltip="2030 framework for climate and energy policies (strategic document) European Union 2014" display="http://climatepolicydatabase.org/index.php?title=2030_framework_for_climate_and_energy_policies_(strategic_document)_European_Union_2014" xr:uid="{00000000-0004-0000-0600-0000AF000000}"/>
    <hyperlink ref="D158" r:id="rId177" tooltip="2030 framework for climate and energy policies (strategic document) European Union 2014" display="http://climatepolicydatabase.org/index.php?title=2030_framework_for_climate_and_energy_policies_(strategic_document)_European_Union_2014" xr:uid="{00000000-0004-0000-0600-0000B0000000}"/>
    <hyperlink ref="D159" r:id="rId178" tooltip="Roadmap to a single European transport area" display="http://www.climatepolicydatabase.org/index.php?title=Roadmap_to_a_single_European_transport_area" xr:uid="{00000000-0004-0000-0600-0000B1000000}"/>
    <hyperlink ref="D179" r:id="rId179" tooltip="Roadmap to a single European transport area" display="http://www.climatepolicydatabase.org/index.php?title=Roadmap_to_a_single_European_transport_area" xr:uid="{00000000-0004-0000-0600-0000B2000000}"/>
    <hyperlink ref="D180:D182" r:id="rId180" tooltip="Roadmap to a single European transport area" display="http://www.climatepolicydatabase.org/index.php?title=Roadmap_to_a_single_European_transport_area" xr:uid="{00000000-0004-0000-0600-0000B3000000}"/>
    <hyperlink ref="D160" r:id="rId181" tooltip="Emission performance standards for new light commercial vehicles (Regulation (EU) No. 510/2011 European Union 2011" display="http://www.climatepolicydatabase.org/index.php?title=Emission_performance_standards_for_new_light_commercial_vehicles_(Regulation_(EU)_No._510/2011_European_Union_2011" xr:uid="{00000000-0004-0000-0600-0000B4000000}"/>
    <hyperlink ref="D161" r:id="rId182" tooltip="Emission performance standards for new light commercial vehicles (Regulation (EU) No. 510/2011 European Union 2011" display="http://www.climatepolicydatabase.org/index.php?title=Emission_performance_standards_for_new_light_commercial_vehicles_(Regulation_(EU)_No._510/2011_European_Union_2011" xr:uid="{00000000-0004-0000-0600-0000B5000000}"/>
    <hyperlink ref="D164" r:id="rId183" tooltip="Energy efficiency (Directive 2012/27/EU on Energy efficiency, amending Directives 2009/125/EC and 2010/30/EU and repealing Directives 2004/8/EC and 2006/32/EC) European Union 2012" display="http://www.climatepolicydatabase.org/index.php?title=Energy_efficiency_(Directive_2012/27/EU_on_Energy_efficiency,_amending_Directives_2009/125/EC_and_2010/30/EU_and_repealing_Directives_2004/8/EC_and_2006/32/EC)_European_Union_2012" xr:uid="{00000000-0004-0000-0600-0000B6000000}"/>
    <hyperlink ref="D165" r:id="rId184" tooltip="Revision of the EU Emission Trading System (EU ETS) (Directive 2009/29/EC amending Directive 2003/87/EC)" display="http://www.climatepolicydatabase.org/index.php?title=Revision_of_the_EU_Emission_Trading_System_(EU_ETS)_(Directive_2009/29/EC_amending_Directive_2003/87/EC)" xr:uid="{00000000-0004-0000-0600-0000B7000000}"/>
    <hyperlink ref="D166" r:id="rId185" tooltip="Fluorinated greenhouse gases (Regulation No. 517/2014 on fluorinated greenhouse gases and repealing Regulation (EC) No 842/2006) European Union 2014" display="http://climatepolicydatabase.org/index.php?title=Fluorinated_greenhouse_gases_(Regulation_No._517/2014_on_fluorinated_greenhouse_gases_and_repealing_Regulation_(EC)_No_842/2006)_European_Union_2014" xr:uid="{00000000-0004-0000-0600-0000B8000000}"/>
    <hyperlink ref="D167" r:id="rId186" tooltip="Fluorinated greenhouse gases (Regulation No. 517/2014 on fluorinated greenhouse gases and repealing Regulation (EC) No 842/2006) European Union 2014" display="http://climatepolicydatabase.org/index.php?title=Fluorinated_greenhouse_gases_(Regulation_No._517/2014_on_fluorinated_greenhouse_gases_and_repealing_Regulation_(EC)_No_842/2006)_European_Union_2014" xr:uid="{00000000-0004-0000-0600-0000B9000000}"/>
    <hyperlink ref="D168" r:id="rId187" tooltip="Directive 2009/28/EC Biofuel target European Union 2009" display="http://climatepolicydatabase.org/index.php?title=Directive_2009/28/EC_Biofuel_target_European_Union_2009" xr:uid="{00000000-0004-0000-0600-0000BA000000}"/>
    <hyperlink ref="D162" r:id="rId188" tooltip="Emission performance standards for new passenger cars (Regulation (EC) No. 443/2009" display="http://climatepolicydatabase.org/index.php?title=Emission_performance_standards_for_new_passenger_cars_(Regulation_(EC)_No._443/2009" xr:uid="{00000000-0004-0000-0600-0000BB000000}"/>
    <hyperlink ref="D163" r:id="rId189" tooltip="Emission performance standards for new passenger cars (Regulation (EC) No. 443/2009" display="http://climatepolicydatabase.org/index.php?title=Emission_performance_standards_for_new_passenger_cars_(Regulation_(EC)_No._443/2009" xr:uid="{00000000-0004-0000-0600-0000BC000000}"/>
    <hyperlink ref="D169" r:id="rId190" tooltip="Fuel Quality (Directive 2009/30/EC)" display="http://climatepolicydatabase.org/index.php?title=Fuel_Quality_(Directive_2009/30/EC)" xr:uid="{00000000-0004-0000-0600-0000BD000000}"/>
    <hyperlink ref="D170" r:id="rId191" tooltip="Fuel Quality (Directive 2009/30/EC)" display="http://climatepolicydatabase.org/index.php?title=Fuel_Quality_(Directive_2009/30/EC)" xr:uid="{00000000-0004-0000-0600-0000BE000000}"/>
    <hyperlink ref="D171" r:id="rId192" tooltip="Fuel Quality (Directive 2009/30/EC)" display="http://climatepolicydatabase.org/index.php?title=Fuel_Quality_(Directive_2009/30/EC)" xr:uid="{00000000-0004-0000-0600-0000BF000000}"/>
    <hyperlink ref="D174" r:id="rId193" tooltip="Directive (EU) 2015/1513 amending Directive 98/70/EC relating to the quality of petrol and diesel fuels and amending Directive 2009/28/EC on the promotion of the use of energy from renewable sources" display="http://climatepolicydatabase.org/index.php?title=Directive_(EU)_2015/1513_amending_Directive_98/70/EC_relating_to_the_quality_of_petrol_and_diesel_fuels_and_amending_Directive_2009/28/EC_on_the_promotion_of_the_use_of_energy_from_renewable_sources" xr:uid="{00000000-0004-0000-0600-0000C0000000}"/>
    <hyperlink ref="D175" r:id="rId194" tooltip="Directive (EU) 2015/1513 amending Directive 98/70/EC relating to the quality of petrol and diesel fuels and amending Directive 2009/28/EC on the promotion of the use of energy from renewable sources" display="http://climatepolicydatabase.org/index.php?title=Directive_(EU)_2015/1513_amending_Directive_98/70/EC_relating_to_the_quality_of_petrol_and_diesel_fuels_and_amending_Directive_2009/28/EC_on_the_promotion_of_the_use_of_energy_from_renewable_sources" xr:uid="{00000000-0004-0000-0600-0000C1000000}"/>
    <hyperlink ref="D176" r:id="rId195" tooltip="Directive (EU) 2015/1513 amending Directive 98/70/EC relating to the quality of petrol and diesel fuels and amending Directive 2009/28/EC on the promotion of the use of energy from renewable sources" display="http://climatepolicydatabase.org/index.php?title=Directive_(EU)_2015/1513_amending_Directive_98/70/EC_relating_to_the_quality_of_petrol_and_diesel_fuels_and_amending_Directive_2009/28/EC_on_the_promotion_of_the_use_of_energy_from_renewable_sources" xr:uid="{00000000-0004-0000-0600-0000C2000000}"/>
    <hyperlink ref="D172" r:id="rId196" tooltip="Directive 2010/31/EU on the energy performance of buildings European Union 2010" display="http://www.climatepolicydatabase.org/index.php?title=Directive_2010/31/EU_on_the_energy_performance_of_buildings_European_Union_2010" xr:uid="{00000000-0004-0000-0600-0000C3000000}"/>
    <hyperlink ref="D173" r:id="rId197" tooltip="Directive 2010/31/EU on the energy performance of buildings European Union 2010" display="http://www.climatepolicydatabase.org/index.php?title=Directive_2010/31/EU_on_the_energy_performance_of_buildings_European_Union_2010" xr:uid="{00000000-0004-0000-0600-0000C4000000}"/>
    <hyperlink ref="D177" r:id="rId198" tooltip="Eco-design (Directive 2009/125/EC establishing a framework for the setting of ecodesign requirements for energy-related products (recast)) European Union 2009" display="http://climatepolicydatabase.org/index.php?title=Eco-design_(Directive_2009/125/EC_establishing_a_framework_for_the_setting_of_ecodesign_requirements_for_energy-related_products_(recast))_European_Union_2009" xr:uid="{00000000-0004-0000-0600-0000C5000000}"/>
    <hyperlink ref="D178" r:id="rId199" tooltip="Timber Regulation (No 995/2010)" display="http://climatepolicydatabase.org/index.php?title=Timber_Regulation_(No_995/2010)" xr:uid="{00000000-0004-0000-0600-0000C6000000}"/>
    <hyperlink ref="D243" r:id="rId200" tooltip="INDC" display="http://climatepolicydatabase.org/index.php?title=INDC" xr:uid="{00000000-0004-0000-0600-0000C7000000}"/>
    <hyperlink ref="D244" r:id="rId201" tooltip="Eco-Car Tax Break and Subsidies for Vehicles Japan 2009" display="http://climatepolicydatabase.org/index.php?title=Eco-Car_Tax_Break_and_Subsidies_for_Vehicles_Japan_2009" xr:uid="{00000000-0004-0000-0600-0000C8000000}"/>
    <hyperlink ref="D245" r:id="rId202" tooltip="Eco-Car Tax Break and Subsidies for Vehicles Japan 2009" display="http://climatepolicydatabase.org/index.php?title=Eco-Car_Tax_Break_and_Subsidies_for_Vehicles_Japan_2009" xr:uid="{00000000-0004-0000-0600-0000C9000000}"/>
    <hyperlink ref="D246" r:id="rId203" tooltip="Fuel Efficiency Standards for Vehicles - Top Runner Program Japan 1979" display="http://climatepolicydatabase.org/index.php?title=Fuel_Efficiency_Standards_for_Vehicles_-_Top_Runner_Program_Japan_1979" xr:uid="{00000000-0004-0000-0600-0000CA000000}"/>
    <hyperlink ref="D247" r:id="rId204" tooltip="Environmet-related tax on vehicle Japan" display="http://climatepolicydatabase.org/index.php?title=Environmet-related_tax_on_vehicle_Japan" xr:uid="{00000000-0004-0000-0600-0000CB000000}"/>
    <hyperlink ref="D248" r:id="rId205" tooltip="Environmet-related tax on vehicle Japan" display="http://climatepolicydatabase.org/index.php?title=Environmet-related_tax_on_vehicle_Japan" xr:uid="{00000000-0004-0000-0600-0000CC000000}"/>
    <hyperlink ref="D249" r:id="rId206" tooltip="Act Partially Amending the Law on Special Tax Measures (Tax Reform Act 2012) (Law No. 16 of 2012) Japan 2012" display="http://climatepolicydatabase.org/index.php?title=Act_Partially_Amending_the_Law_on_Special_Tax_Measures_(Tax_Reform_Act_2012)_(Law_No._16_of_2012)_Japan_2012" xr:uid="{00000000-0004-0000-0600-0000CD000000}"/>
    <hyperlink ref="D250" r:id="rId207" tooltip="Act Partially Amending the Law on Special Tax Measures (Tax Reform Act 2012) (Law No. 16 of 2012) Japan 2012" display="http://climatepolicydatabase.org/index.php?title=Act_Partially_Amending_the_Law_on_Special_Tax_Measures_(Tax_Reform_Act_2012)_(Law_No._16_of_2012)_Japan_2012" xr:uid="{00000000-0004-0000-0600-0000CE000000}"/>
    <hyperlink ref="D251" r:id="rId208" tooltip="Act Partially Amending the Law on Special Tax Measures (Tax Reform Act 2012) (Law No. 16 of 2012) Japan 2012" display="http://climatepolicydatabase.org/index.php?title=Act_Partially_Amending_the_Law_on_Special_Tax_Measures_(Tax_Reform_Act_2012)_(Law_No._16_of_2012)_Japan_2012" xr:uid="{00000000-0004-0000-0600-0000CF000000}"/>
    <hyperlink ref="D279" r:id="rId209" tooltip="Basic Plan for Forest and Forestry Japan 2011" display="http://climatepolicydatabase.org/index.php?title=Basic_Plan_for_Forest_and_Forestry_Japan_2011" xr:uid="{00000000-0004-0000-0600-0000D0000000}"/>
    <hyperlink ref="D252" r:id="rId210" tooltip="Law Concerning the Rational Use of Energy (Energy Conservation Act) (Law No.49 of 1979) Japan 1979" display="http://climatepolicydatabase.org/index.php?title=Law_Concerning_the_Rational_Use_of_Energy_(Energy_Conservation_Act)_(Law_No.49_of_1979)_Japan_1979" xr:uid="{00000000-0004-0000-0600-0000D1000000}"/>
    <hyperlink ref="D253" r:id="rId211" tooltip="Law Concerning the Rational Use of Energy (Energy Conservation Act) (Law No.49 of 1979) Japan 1979" display="http://climatepolicydatabase.org/index.php?title=Law_Concerning_the_Rational_Use_of_Energy_(Energy_Conservation_Act)_(Law_No.49_of_1979)_Japan_1979" xr:uid="{00000000-0004-0000-0600-0000D2000000}"/>
    <hyperlink ref="D254" r:id="rId212" tooltip="Act on Purchase of Renewable Energy Sourced Electricity by Electric Utilities (Law No. 108 of 2011) Japan 2012" display="http://climatepolicydatabase.org/index.php?title=Act_on_Purchase_of_Renewable_Energy_Sourced_Electricity_by_Electric_Utilities_(Law_No._108_of_2011)_Japan_2012" xr:uid="{00000000-0004-0000-0600-0000D3000000}"/>
    <hyperlink ref="D255" r:id="rId213" tooltip="Act on Purchase of Renewable Energy Sourced Electricity by Electric Utilities (Law No. 108 of 2011) Japan 2012" display="http://climatepolicydatabase.org/index.php?title=Act_on_Purchase_of_Renewable_Energy_Sourced_Electricity_by_Electric_Utilities_(Law_No._108_of_2011)_Japan_2012" xr:uid="{00000000-0004-0000-0600-0000D4000000}"/>
    <hyperlink ref="D256" r:id="rId214" tooltip="Act on Purchase of Renewable Energy Sourced Electricity by Electric Utilities (Law No. 108 of 2011) Japan 2012" display="http://climatepolicydatabase.org/index.php?title=Act_on_Purchase_of_Renewable_Energy_Sourced_Electricity_by_Electric_Utilities_(Law_No._108_of_2011)_Japan_2012" xr:uid="{00000000-0004-0000-0600-0000D5000000}"/>
    <hyperlink ref="D257" r:id="rId215" tooltip="Act on Purchase of Renewable Energy Sourced Electricity by Electric Utilities (Law No. 108 of 2011) Japan 2012" display="http://climatepolicydatabase.org/index.php?title=Act_on_Purchase_of_Renewable_Energy_Sourced_Electricity_by_Electric_Utilities_(Law_No._108_of_2011)_Japan_2012" xr:uid="{00000000-0004-0000-0600-0000D6000000}"/>
    <hyperlink ref="D258" r:id="rId216" tooltip="Act on Purchase of Renewable Energy Sourced Electricity by Electric Utilities (Law No. 108 of 2011) Japan 2012" display="http://climatepolicydatabase.org/index.php?title=Act_on_Purchase_of_Renewable_Energy_Sourced_Electricity_by_Electric_Utilities_(Law_No._108_of_2011)_Japan_2012" xr:uid="{00000000-0004-0000-0600-0000D7000000}"/>
    <hyperlink ref="D259" r:id="rId217" tooltip="Act on Purchase of Renewable Energy Sourced Electricity by Electric Utilities (Law No. 108 of 2011) Japan 2012" display="http://climatepolicydatabase.org/index.php?title=Act_on_Purchase_of_Renewable_Energy_Sourced_Electricity_by_Electric_Utilities_(Law_No._108_of_2011)_Japan_2012" xr:uid="{00000000-0004-0000-0600-0000D8000000}"/>
    <hyperlink ref="D260" r:id="rId218" tooltip="Act on Purchase of Renewable Energy Sourced Electricity by Electric Utilities (Law No. 108 of 2011) Japan 2012" display="http://climatepolicydatabase.org/index.php?title=Act_on_Purchase_of_Renewable_Energy_Sourced_Electricity_by_Electric_Utilities_(Law_No._108_of_2011)_Japan_2012" xr:uid="{00000000-0004-0000-0600-0000D9000000}"/>
    <hyperlink ref="D261" r:id="rId219" tooltip="Act on Purchase of Renewable Energy Sourced Electricity by Electric Utilities (Law No. 108 of 2011) Japan 2012" display="http://climatepolicydatabase.org/index.php?title=Act_on_Purchase_of_Renewable_Energy_Sourced_Electricity_by_Electric_Utilities_(Law_No._108_of_2011)_Japan_2012" xr:uid="{00000000-0004-0000-0600-0000DA000000}"/>
    <hyperlink ref="D262" r:id="rId220" tooltip="Act on Purchase of Renewable Energy Sourced Electricity by Electric Utilities (Law No. 108 of 2011) Japan 2012" display="http://climatepolicydatabase.org/index.php?title=Act_on_Purchase_of_Renewable_Energy_Sourced_Electricity_by_Electric_Utilities_(Law_No._108_of_2011)_Japan_2012" xr:uid="{00000000-0004-0000-0600-0000DB000000}"/>
    <hyperlink ref="D264" r:id="rId221" tooltip="Act on Purchase of Renewable Energy Sourced Electricity by Electric Utilities (Law No. 108 of 2011) Japan 2012" display="http://climatepolicydatabase.org/index.php?title=Act_on_Purchase_of_Renewable_Energy_Sourced_Electricity_by_Electric_Utilities_(Law_No._108_of_2011)_Japan_2012" xr:uid="{00000000-0004-0000-0600-0000DC000000}"/>
    <hyperlink ref="D265" r:id="rId222" tooltip="Energy Tax on Fossil Fuels Japan 2002" display="http://climatepolicydatabase.org/index.php?title=Energy_Tax_on_Fossil_Fuels_Japan_2002" xr:uid="{00000000-0004-0000-0600-0000DD000000}"/>
    <hyperlink ref="D266:D269" r:id="rId223" tooltip="Energy Tax on Fossil Fuels Japan 2002" display="http://climatepolicydatabase.org/index.php?title=Energy_Tax_on_Fossil_Fuels_Japan_2002" xr:uid="{00000000-0004-0000-0600-0000DE000000}"/>
    <hyperlink ref="D270" r:id="rId224" tooltip="2030 Outlook for Energy Supply and Demand Japan 2005" display="http://climatepolicydatabase.org/index.php?title=2030_Outlook_for_Energy_Supply_and_Demand_Japan_2005" xr:uid="{00000000-0004-0000-0600-0000DF000000}"/>
    <hyperlink ref="D275" r:id="rId225" tooltip="4th Strategic Energy Plan Japan 2014" display="http://climatepolicydatabase.org/index.php?title=4th_Strategic_Energy_Plan_Japan_2014" xr:uid="{00000000-0004-0000-0600-0000E0000000}"/>
    <hyperlink ref="D274" r:id="rId226" tooltip="4th Strategic Energy Plan Japan 2014" display="http://climatepolicydatabase.org/index.php?title=4th_Strategic_Energy_Plan_Japan_2014" xr:uid="{00000000-0004-0000-0600-0000E1000000}"/>
    <hyperlink ref="D273" r:id="rId227" tooltip="4th Strategic Energy Plan Japan 2014" display="http://climatepolicydatabase.org/index.php?title=4th_Strategic_Energy_Plan_Japan_2014" xr:uid="{00000000-0004-0000-0600-0000E2000000}"/>
    <hyperlink ref="D276" r:id="rId228" tooltip="4th Strategic Energy Plan Japan 2014" display="http://climatepolicydatabase.org/index.php?title=4th_Strategic_Energy_Plan_Japan_2014" xr:uid="{00000000-0004-0000-0600-0000E3000000}"/>
    <hyperlink ref="D277" r:id="rId229" tooltip="4th Strategic Energy Plan Japan 2014" display="http://climatepolicydatabase.org/index.php?title=4th_Strategic_Energy_Plan_Japan_2014" xr:uid="{00000000-0004-0000-0600-0000E4000000}"/>
    <hyperlink ref="D263" r:id="rId230" tooltip="Act on Purchase of Renewable Energy Sourced Electricity by Electric Utilities (Law No. 108 of 2011) Japan 2012" display="http://climatepolicydatabase.org/index.php?title=Act_on_Purchase_of_Renewable_Energy_Sourced_Electricity_by_Electric_Utilities_(Law_No._108_of_2011)_Japan_2012" xr:uid="{00000000-0004-0000-0600-0000E5000000}"/>
    <hyperlink ref="D271" r:id="rId231" tooltip="Act on Rational Use and Proper Management of Fluorocarbons" display="http://www.climatepolicydatabase.org/index.php?title=Act_on_Rational_Use_and_Proper_Management_of_Fluorocarbons" xr:uid="{00000000-0004-0000-0600-0000E6000000}"/>
    <hyperlink ref="D272" r:id="rId232" tooltip="Regulation and Standard for Housing and Building (Energy Conservation Act) Japan 1980" display="http://www.climatepolicydatabase.org/index.php?title=Regulation_and_Standard_for_Housing_and_Building_(Energy_Conservation_Act)_Japan_1980" xr:uid="{00000000-0004-0000-0600-0000E7000000}"/>
    <hyperlink ref="D278" r:id="rId233" tooltip="J-Credit Scheme Japan 2008" display="http://climatepolicydatabase.org/index.php?title=J-Credit_Scheme_Japan_2008" xr:uid="{00000000-0004-0000-0600-0000E8000000}"/>
    <hyperlink ref="D318" r:id="rId234" tooltip="INDC target Mexico 2015" display="http://www.climatepolicydatabase.org/index.php?title=INDC_target_Mexico_2015" xr:uid="{00000000-0004-0000-0600-0000E9000000}"/>
    <hyperlink ref="D321" r:id="rId235" tooltip="Light Duty Vehicles CO2 Emissions Standards Mexico 2013" display="http://www.climatepolicydatabase.org/index.php?title=Light_Duty_Vehicles_CO2_Emissions_Standards_Mexico_2013" xr:uid="{00000000-0004-0000-0600-0000EA000000}"/>
    <hyperlink ref="D319" r:id="rId236" tooltip="INDC target Mexico 2015" display="http://www.climatepolicydatabase.org/index.php?title=INDC_target_Mexico_2015" xr:uid="{00000000-0004-0000-0600-0000EB000000}"/>
    <hyperlink ref="D320" r:id="rId237" tooltip="INDC target Mexico 2015" display="http://www.climatepolicydatabase.org/index.php?title=INDC_target_Mexico_2015" xr:uid="{00000000-0004-0000-0600-0000EC000000}"/>
    <hyperlink ref="D322" r:id="rId238" tooltip="Special Programme on Climate Change 2014-2018" display="http://www.climatepolicydatabase.org/index.php?title=Special_Programme_on_Climate_Change_2014-2018" xr:uid="{00000000-0004-0000-0600-0000ED000000}"/>
    <hyperlink ref="D345" r:id="rId239" tooltip="Special Programme on Climate Change 2014-2018" display="http://www.climatepolicydatabase.org/index.php?title=Special_Programme_on_Climate_Change_2014-2018" xr:uid="{00000000-0004-0000-0600-0000EE000000}"/>
    <hyperlink ref="D323" r:id="rId240" tooltip="National Programme for Sustainable Use of Energy 2014-2018" display="http://www.climatepolicydatabase.org/index.php?title=National_Programme_for_Sustainable_Use_of_Energy_2014-2018" xr:uid="{00000000-0004-0000-0600-0000EF000000}"/>
    <hyperlink ref="D335" r:id="rId241" tooltip="Accelerated Depreciation for Investments with Environmental Benefits Mexico 2005" display="http://www.climatepolicydatabase.org/index.php?title=Accelerated_Depreciation_for_Investments_with_Environmental_Benefits_Mexico_2005" xr:uid="{00000000-0004-0000-0600-0000F0000000}"/>
    <hyperlink ref="D336" r:id="rId242" tooltip="Grid interconection contract for renewable energy (Contrato de interconexión para fuente de energía renovable) Mexico 2001" display="http://www.climatepolicydatabase.org/index.php?title=Grid_interconection_contract_for_renewable_energy_(Contrato_de_interconexi%C3%B3n_para_fuente_de_energ%C3%ADa_renovable)_Mexico_2001" xr:uid="{00000000-0004-0000-0600-0000F1000000}"/>
    <hyperlink ref="D324" r:id="rId243" tooltip="Energy Reform Package Mexico 2013" display="http://www.climatepolicydatabase.org/index.php?title=Energy_Reform_Package_Mexico_2013" xr:uid="{00000000-0004-0000-0600-0000F2000000}"/>
    <hyperlink ref="D325" r:id="rId244" tooltip="Energy Reform Package Mexico 2013" display="http://www.climatepolicydatabase.org/index.php?title=Energy_Reform_Package_Mexico_2013" xr:uid="{00000000-0004-0000-0600-0000F3000000}"/>
    <hyperlink ref="D326" r:id="rId245" tooltip="Energy Reform Package Mexico 2013" display="http://www.climatepolicydatabase.org/index.php?title=Energy_Reform_Package_Mexico_2013" xr:uid="{00000000-0004-0000-0600-0000F4000000}"/>
    <hyperlink ref="D327" r:id="rId246" tooltip="Energy Reform Package Mexico 2013" display="http://www.climatepolicydatabase.org/index.php?title=Energy_Reform_Package_Mexico_2013" xr:uid="{00000000-0004-0000-0600-0000F5000000}"/>
    <hyperlink ref="D328" r:id="rId247" tooltip="Carbon tax" display="http://www.climatepolicydatabase.org/index.php?title=Carbon_tax" xr:uid="{00000000-0004-0000-0600-0000F6000000}"/>
    <hyperlink ref="D338" r:id="rId248" tooltip="General Law for Sustainable Forest Development Mexico 2003" display="http://www.climatepolicydatabase.org/index.php?title=General_Law_for_Sustainable_Forest_Development_Mexico_2003" xr:uid="{00000000-0004-0000-0600-0000F7000000}"/>
    <hyperlink ref="D337" r:id="rId249" tooltip="General Law for Sustainable Forest Development Mexico 2003" display="http://www.climatepolicydatabase.org/index.php?title=General_Law_for_Sustainable_Forest_Development_Mexico_2003" xr:uid="{00000000-0004-0000-0600-0000F8000000}"/>
    <hyperlink ref="D339" r:id="rId250" tooltip="General Law for Sustainable Forest Development Mexico 2003" display="http://www.climatepolicydatabase.org/index.php?title=General_Law_for_Sustainable_Forest_Development_Mexico_2003" xr:uid="{00000000-0004-0000-0600-0000F9000000}"/>
    <hyperlink ref="D340" r:id="rId251" tooltip="General Law for Sustainable Forest Development Mexico 2003" display="http://www.climatepolicydatabase.org/index.php?title=General_Law_for_Sustainable_Forest_Development_Mexico_2003" xr:uid="{00000000-0004-0000-0600-0000FA000000}"/>
    <hyperlink ref="D341" r:id="rId252" tooltip="General Law for Sustainable Forest Development Mexico 2003" display="http://www.climatepolicydatabase.org/index.php?title=General_Law_for_Sustainable_Forest_Development_Mexico_2003" xr:uid="{00000000-0004-0000-0600-0000FB000000}"/>
    <hyperlink ref="D346" r:id="rId253" tooltip="General Law for Sustainable Forest Development Mexico 2003" display="http://www.climatepolicydatabase.org/index.php?title=General_Law_for_Sustainable_Forest_Development_Mexico_2003" xr:uid="{00000000-0004-0000-0600-0000FC000000}"/>
    <hyperlink ref="D342" r:id="rId254" tooltip="General Law for Sustainable Forest Development Mexico 2003" display="http://www.climatepolicydatabase.org/index.php?title=General_Law_for_Sustainable_Forest_Development_Mexico_2003" xr:uid="{00000000-0004-0000-0600-0000FD000000}"/>
    <hyperlink ref="D343" r:id="rId255" tooltip="General Law for Sustainable Forest Development Mexico 2003" display="http://www.climatepolicydatabase.org/index.php?title=General_Law_for_Sustainable_Forest_Development_Mexico_2003" xr:uid="{00000000-0004-0000-0600-0000FE000000}"/>
    <hyperlink ref="D330" r:id="rId256" tooltip="Energy Transition Law Mexico 2015" display="http://www.climatepolicydatabase.org/index.php?title=Energy_Transition_Law_Mexico_2015" xr:uid="{00000000-0004-0000-0600-0000FF000000}"/>
    <hyperlink ref="D331" r:id="rId257" tooltip="Energy Transition Law Mexico 2015" display="http://www.climatepolicydatabase.org/index.php?title=Energy_Transition_Law_Mexico_2015" xr:uid="{00000000-0004-0000-0600-000000010000}"/>
    <hyperlink ref="D332" r:id="rId258" tooltip="Energy Transition Law Mexico 2015" display="http://www.climatepolicydatabase.org/index.php?title=Energy_Transition_Law_Mexico_2015" xr:uid="{00000000-0004-0000-0600-000001010000}"/>
    <hyperlink ref="D329" r:id="rId259" tooltip="Performance criteria and application for flaring and ventilation of natural gas (CNH.06.001/09)" display="http://www.climatepolicydatabase.org/index.php?title=Performance_criteria_and_application_for_flaring_and_ventilation_of_natural_gas_(CNH.06.001/09)" xr:uid="{00000000-0004-0000-0600-000002010000}"/>
    <hyperlink ref="D333" r:id="rId260" tooltip="Renewable energy auction scheme Mexico 2016" display="http://climatepolicydatabase.org/index.php?title=Renewable_energy_auction_scheme_Mexico_2016" xr:uid="{00000000-0004-0000-0600-000003010000}"/>
    <hyperlink ref="D349" r:id="rId261" tooltip="INDC target Russian Federation 2015" display="http://www.climatepolicydatabase.org/index.php?title=INDC_target_Russian_Federation_2015" xr:uid="{00000000-0004-0000-0600-000004010000}"/>
    <hyperlink ref="D350" r:id="rId262" tooltip="Greenhouse Gas Emission Reduction (Presidential Decree 752) Russian Federation 2013" display="http://www.climatepolicydatabase.org/index.php?title=Greenhouse_Gas_Emission_Reduction_(Presidential_Decree_752)_Russian_Federation_2013" xr:uid="{00000000-0004-0000-0600-000005010000}"/>
    <hyperlink ref="D351" r:id="rId263" tooltip="Legislation on the limitations of associated gas flaring Russia 2009" display="http://www.climatepolicydatabase.org/index.php?title=Legislation_on_the_limitations_of_associated_gas_flaring_Russia_2009" xr:uid="{00000000-0004-0000-0600-000006010000}"/>
    <hyperlink ref="D352" r:id="rId264" tooltip="State Program on Energy efficiency and Energy Development (approved by Government Decree No 321) Russian Federation 2014" display="http://www.climatepolicydatabase.org/index.php?title=State_Program_on_Energy_efficiency_and_Energy_Development_(approved_by_Government_Decree_No_321)_Russian_Federation_2014" xr:uid="{00000000-0004-0000-0600-000007010000}"/>
    <hyperlink ref="D354" r:id="rId265" tooltip="Energy efficiency legislation (Federal Law 261-FZ, On Saving Energy and Increasing Energy efficiency Increase and Amending Certain Legislative Acts of the Russian Federation) Russian Federation 2009" display="http://www.climatepolicydatabase.org/index.php?title=Energy_efficiency_legislation_(Federal_Law_261-FZ,_%C2%80%C2%9COn_Saving_Energy_and_Increasing_Energy_efficiency_Increase_and_Amending_Certain_Legislative_Acts_of_the_Russian_Federation%C2%80%C2%9D)_Russian_Federation_2009" xr:uid="{00000000-0004-0000-0600-000008010000}"/>
    <hyperlink ref="D353" r:id="rId266" tooltip="State Program on Energy efficiency and Energy Development (approved by Government Decree No 321) Russian Federation 2014" display="http://www.climatepolicydatabase.org/index.php?title=State_Program_on_Energy_efficiency_and_Energy_Development_(approved_by_Government_Decree_No_321)_Russian_Federation_2014" xr:uid="{00000000-0004-0000-0600-000009010000}"/>
    <hyperlink ref="D355" r:id="rId267" tooltip="Energy efficiency legislation (Federal Law 261-FZ, On Saving Energy and Increasing Energy efficiency Increase and Amending Certain Legislative Acts of the Russian Federation) Russian Federation 2009" display="http://www.climatepolicydatabase.org/index.php?title=Energy_efficiency_legislation_(Federal_Law_261-FZ,_%C2%80%C2%9COn_Saving_Energy_and_Increasing_Energy_efficiency_Increase_and_Amending_Certain_Legislative_Acts_of_the_Russian_Federation%C2%80%C2%9D)_Russian_Federation_2009" xr:uid="{00000000-0004-0000-0600-00000A010000}"/>
    <hyperlink ref="D356" r:id="rId268" tooltip="Energy efficiency legislation (Federal Law 261-FZ, On Saving Energy and Increasing Energy efficiency Increase and Amending Certain Legislative Acts of the Russian Federation) Russian Federation 2009" display="http://www.climatepolicydatabase.org/index.php?title=Energy_efficiency_legislation_(Federal_Law_261-FZ,_%C2%80%C2%9COn_Saving_Energy_and_Increasing_Energy_efficiency_Increase_and_Amending_Certain_Legislative_Acts_of_the_Russian_Federation%C2%80%C2%9D)_Russian_Federation_2009" xr:uid="{00000000-0004-0000-0600-00000B010000}"/>
    <hyperlink ref="D367" r:id="rId269" tooltip="Energy Strategy to 2030 Russian Federation 2009" display="http://www.climatepolicydatabase.org/index.php?title=Energy_Strategy_to_2030_Russian_Federation_2009" xr:uid="{00000000-0004-0000-0600-00000C010000}"/>
    <hyperlink ref="D368" r:id="rId270" tooltip="Energy Strategy to 2030 Russian Federation 2009" display="http://www.climatepolicydatabase.org/index.php?title=Energy_Strategy_to_2030_Russian_Federation_2009" xr:uid="{00000000-0004-0000-0600-00000D010000}"/>
    <hyperlink ref="D357" r:id="rId271" tooltip="Energy Strategy to 2030 Russian Federation 2009" display="http://www.climatepolicydatabase.org/index.php?title=Energy_Strategy_to_2030_Russian_Federation_2009" xr:uid="{00000000-0004-0000-0600-00000E010000}"/>
    <hyperlink ref="D358" r:id="rId272" tooltip="Energy Strategy to 2030 Russian Federation 2009" display="http://www.climatepolicydatabase.org/index.php?title=Energy_Strategy_to_2030_Russian_Federation_2009" xr:uid="{00000000-0004-0000-0600-00000F010000}"/>
    <hyperlink ref="D359" r:id="rId273" tooltip="Energy Strategy to 2030 Russian Federation 2009" display="http://www.climatepolicydatabase.org/index.php?title=Energy_Strategy_to_2030_Russian_Federation_2009" xr:uid="{00000000-0004-0000-0600-000010010000}"/>
    <hyperlink ref="D360" r:id="rId274" tooltip="Energy Strategy to 2030 Russian Federation 2009" display="http://www.climatepolicydatabase.org/index.php?title=Energy_Strategy_to_2030_Russian_Federation_2009" xr:uid="{00000000-0004-0000-0600-000011010000}"/>
    <hyperlink ref="D361" r:id="rId275" tooltip="Decree No. 449 on the Mechanism for the Promotion of Renewable Energy on the Wholesale Electricity and Market Russian Federation 2013" display="http://www.climatepolicydatabase.org/index.php?title=Decree_No._449_on_the_Mechanism_for_the_Promotion_of_Renewable_Energy_on_the_Wholesale_Electricity_and_Market_Russian_Federation_2013" xr:uid="{00000000-0004-0000-0600-000012010000}"/>
    <hyperlink ref="D362" r:id="rId276" tooltip="Decree No. 449 on the Mechanism for the Promotion of Renewable Energy on the Wholesale Electricity and Market Russian Federation 2013" display="http://www.climatepolicydatabase.org/index.php?title=Decree_No._449_on_the_Mechanism_for_the_Promotion_of_Renewable_Energy_on_the_Wholesale_Electricity_and_Market_Russian_Federation_2013" xr:uid="{00000000-0004-0000-0600-000013010000}"/>
    <hyperlink ref="D363" r:id="rId277" tooltip="Decree No. 449 on the Mechanism for the Promotion of Renewable Energy on the Wholesale Electricity and Market Russian Federation 2013" display="http://www.climatepolicydatabase.org/index.php?title=Decree_No._449_on_the_Mechanism_for_the_Promotion_of_Renewable_Energy_on_the_Wholesale_Electricity_and_Market_Russian_Federation_2013" xr:uid="{00000000-0004-0000-0600-000014010000}"/>
    <hyperlink ref="D364" r:id="rId278" tooltip="Decree No. 449 on the Mechanism for the Promotion of Renewable Energy on the Wholesale Electricity and Market Russian Federation 2013" display="http://www.climatepolicydatabase.org/index.php?title=Decree_No._449_on_the_Mechanism_for_the_Promotion_of_Renewable_Energy_on_the_Wholesale_Electricity_and_Market_Russian_Federation_2013" xr:uid="{00000000-0004-0000-0600-000015010000}"/>
    <hyperlink ref="D365" r:id="rId279" tooltip="Rules of Using Thermal Performance of Buildings Russian Federation 2003" display="http://www.climatepolicydatabase.org/index.php?title=Rules_of_Using_Thermal_Performance_of_Buildings_Russian_Federation_2003" xr:uid="{00000000-0004-0000-0600-000016010000}"/>
    <hyperlink ref="D366" r:id="rId280" tooltip="National Strategy of Forestry Development by 2020 Russian Federation 2008" display="http://climatepolicydatabase.org/index.php?title=National_Strategy_of_Forestry_Development_by_2020_Russian_Federation_2008" xr:uid="{00000000-0004-0000-0600-000017010000}"/>
    <hyperlink ref="D379" r:id="rId281" tooltip="National Energy efficiency Programme 2008 Saudi Arabia 2008" display="http://www.climatepolicydatabase.org/index.php?title=National_Energy_efficiency_Programme_2008_Saudi_Arabia_2008" xr:uid="{00000000-0004-0000-0600-000018010000}"/>
    <hyperlink ref="D376" r:id="rId282" tooltip="Royal Decree establishing King Abdullah City for Atomic and Renewable Energy 2010 Saudi Arabia 2010" display="http://www.climatepolicydatabase.org/index.php?title=Royal_Decree_establishing_King_Abdullah_City_for_Atomic_and_Renewable_Energy_2010_Saudi_Arabia_2010" xr:uid="{00000000-0004-0000-0600-000019010000}"/>
    <hyperlink ref="D375" r:id="rId283" tooltip="Royal Decree establishing King Abdullah City for Atomic and Renewable Energy 2010 Saudi Arabia 2010" display="http://www.climatepolicydatabase.org/index.php?title=Royal_Decree_establishing_King_Abdullah_City_for_Atomic_and_Renewable_Energy_2010_Saudi_Arabia_2010" xr:uid="{00000000-0004-0000-0600-00001A010000}"/>
    <hyperlink ref="D374" r:id="rId284" tooltip="Royal Decree establishing King Abdullah City for Atomic and Renewable Energy 2010 Saudi Arabia 2010" display="http://www.climatepolicydatabase.org/index.php?title=Royal_Decree_establishing_King_Abdullah_City_for_Atomic_and_Renewable_Energy_2010_Saudi_Arabia_2010" xr:uid="{00000000-0004-0000-0600-00001B010000}"/>
    <hyperlink ref="D378" r:id="rId285" tooltip="National Energy efficiency Programme 2008 Saudi Arabia 2008" display="http://www.climatepolicydatabase.org/index.php?title=National_Energy_efficiency_Programme_2008_Saudi_Arabia_2008" xr:uid="{00000000-0004-0000-0600-00001C010000}"/>
    <hyperlink ref="D373" r:id="rId286" tooltip="Royal Decree establishing King Abdullah City for Atomic and Renewable Energy 2010 Saudi Arabia 2010" display="http://www.climatepolicydatabase.org/index.php?title=Royal_Decree_establishing_King_Abdullah_City_for_Atomic_and_Renewable_Energy_2010_Saudi_Arabia_2010" xr:uid="{00000000-0004-0000-0600-00001D010000}"/>
    <hyperlink ref="D377" r:id="rId287" tooltip="10th Development Plan Saudi Arabia (2015-2019)" display="http://www.climatepolicydatabase.org/index.php?title=10th_Development_Plan_Saudi_Arabia_(2015-2019)" xr:uid="{00000000-0004-0000-0600-00001E010000}"/>
    <hyperlink ref="D371" r:id="rId288" tooltip="Intended Nationally Determined Contribution: Saudi Arabia" display="http://www.climatepolicydatabase.org/index.php?title=Intended_Nationally_Determined_Contribution:_Saudi_Arabia" xr:uid="{00000000-0004-0000-0600-00001F010000}"/>
    <hyperlink ref="D372" r:id="rId289" tooltip="Corporate Average Fuel Economy Standards (CAFE) Saudi Arabia 2013" display="http://www.climatepolicydatabase.org/index.php?title=Corporate_Average_Fuel_Economy_Standards_(CAFE)_Saudi_Arabia_2013" xr:uid="{00000000-0004-0000-0600-000020010000}"/>
    <hyperlink ref="D405" r:id="rId290" xr:uid="{00000000-0004-0000-0600-000021010000}"/>
    <hyperlink ref="D412:D416" r:id="rId291" display="National Renewable Energy Action Plan for Turkey " xr:uid="{00000000-0004-0000-0600-000022010000}"/>
    <hyperlink ref="D403" r:id="rId292" display="INDC target Turkey 2015 " xr:uid="{00000000-0004-0000-0600-000023010000}"/>
    <hyperlink ref="D381" r:id="rId293" display="INDC target South Africa 2015" xr:uid="{00000000-0004-0000-0600-000024010000}"/>
    <hyperlink ref="D282" r:id="rId294" display="INDC target South Korea 2015" xr:uid="{00000000-0004-0000-0600-000025010000}"/>
    <hyperlink ref="D189" r:id="rId295" display="Financially conditional renewables INDC target India 2015" xr:uid="{00000000-0004-0000-0600-000026010000}"/>
    <hyperlink ref="D188" r:id="rId296" display="Energy intensity INDC target India 2015 " xr:uid="{00000000-0004-0000-0600-000027010000}"/>
    <hyperlink ref="D190" r:id="rId297" display="Forestry INDC target India 2015" xr:uid="{00000000-0004-0000-0600-000028010000}"/>
    <hyperlink ref="D86" r:id="rId298" display="Economy-wide INDC target Canada 2015 " xr:uid="{00000000-0004-0000-0600-000029010000}"/>
    <hyperlink ref="D51" r:id="rId299" display="INDC target Brazil 2015 " xr:uid="{00000000-0004-0000-0600-00002A010000}"/>
    <hyperlink ref="D41" r:id="rId300" tooltip="Emissions Reduction Fund Australia 2014" display="http://climatepolicydatabase.org/index.php?title=Emissions_Reduction_Fund_Australia_2014" xr:uid="{00000000-0004-0000-0600-00002B010000}"/>
    <hyperlink ref="D344" r:id="rId301" tooltip="Special Programme on Climate Change 2014-2018" display="http://www.climatepolicydatabase.org/index.php?title=Special_Programme_on_Climate_Change_2014-2018" xr:uid="{00000000-0004-0000-0600-00002C010000}"/>
    <hyperlink ref="D112" r:id="rId302" tooltip="Energy Development Strategy Action Plan (2014-2020) China 2014" display="http://climatepolicydatabase.org/index.php?title=Energy_Development_Strategy_Action_Plan_(2014-2020)_China_2014" xr:uid="{00000000-0004-0000-0600-00002D010000}"/>
    <hyperlink ref="D130" r:id="rId303" tooltip="Vehicle Fuel Economy Standards China 2005" display="http://climatepolicydatabase.org/index.php?title=Vehicle_Fuel_Economy_Standards_China_2005" xr:uid="{00000000-0004-0000-0600-00002E010000}"/>
    <hyperlink ref="D131" r:id="rId304" tooltip="Vehicle Fuel Economy Standards China 2005" display="http://climatepolicydatabase.org/index.php?title=Vehicle_Fuel_Economy_Standards_China_2005" xr:uid="{00000000-0004-0000-0600-00002F010000}"/>
    <hyperlink ref="D227" r:id="rId305" xr:uid="{00000000-0004-0000-0600-000030010000}"/>
    <hyperlink ref="D228" r:id="rId306" xr:uid="{00000000-0004-0000-0600-000031010000}"/>
    <hyperlink ref="D440" r:id="rId307" xr:uid="{00000000-0004-0000-0600-000032010000}"/>
  </hyperlinks>
  <printOptions gridLines="1"/>
  <pageMargins left="0.70866141732283472" right="0.70866141732283472" top="0.74803149606299213" bottom="0.74803149606299213" header="0.31496062992125984" footer="0.31496062992125984"/>
  <pageSetup paperSize="9" scale="12" fitToHeight="2" orientation="portrait" r:id="rId30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217"/>
  <sheetViews>
    <sheetView zoomScale="80" zoomScaleNormal="80" workbookViewId="0">
      <selection activeCell="K1" sqref="K1:U1"/>
    </sheetView>
  </sheetViews>
  <sheetFormatPr defaultRowHeight="15" x14ac:dyDescent="0.25"/>
  <cols>
    <col min="1" max="1" width="25.85546875" style="534" bestFit="1" customWidth="1"/>
    <col min="2" max="2" width="9.140625" style="534"/>
    <col min="3" max="3" width="24.5703125" customWidth="1"/>
    <col min="4" max="4" width="76.5703125" bestFit="1" customWidth="1"/>
    <col min="5" max="5" width="16" bestFit="1" customWidth="1"/>
    <col min="6" max="6" width="11.85546875" style="534" customWidth="1"/>
    <col min="7" max="7" width="9.42578125" bestFit="1" customWidth="1"/>
    <col min="8" max="8" width="8.5703125" bestFit="1" customWidth="1"/>
    <col min="9" max="9" width="22.85546875" bestFit="1" customWidth="1"/>
    <col min="10" max="10" width="24.140625" customWidth="1"/>
    <col min="11" max="11" width="13.85546875" bestFit="1" customWidth="1"/>
    <col min="12" max="12" width="18.7109375" customWidth="1"/>
    <col min="13" max="13" width="21.85546875" customWidth="1"/>
    <col min="21" max="21" width="42.42578125" bestFit="1" customWidth="1"/>
  </cols>
  <sheetData>
    <row r="1" spans="1:21" s="534" customFormat="1" ht="33.75" customHeight="1" x14ac:dyDescent="0.25">
      <c r="C1" s="945" t="s">
        <v>2128</v>
      </c>
      <c r="D1" s="476"/>
      <c r="E1" s="476"/>
      <c r="F1" s="476"/>
      <c r="G1" s="476"/>
      <c r="H1" s="476"/>
      <c r="I1" s="476"/>
      <c r="J1" s="476"/>
      <c r="K1" s="1294" t="s">
        <v>2285</v>
      </c>
      <c r="L1" s="1295"/>
      <c r="M1" s="1295"/>
      <c r="N1" s="1295"/>
      <c r="O1" s="1295"/>
      <c r="P1" s="1295"/>
      <c r="Q1" s="1295"/>
      <c r="R1" s="1295"/>
      <c r="S1" s="1295"/>
      <c r="T1" s="1295"/>
      <c r="U1" s="1295"/>
    </row>
    <row r="2" spans="1:21" ht="53.25" customHeight="1" thickBot="1" x14ac:dyDescent="0.3">
      <c r="C2" s="536" t="s">
        <v>1</v>
      </c>
      <c r="D2" s="536" t="s">
        <v>1901</v>
      </c>
      <c r="E2" s="536" t="s">
        <v>1902</v>
      </c>
      <c r="F2" s="536" t="s">
        <v>1903</v>
      </c>
      <c r="G2" s="536" t="s">
        <v>2</v>
      </c>
      <c r="H2" s="536" t="s">
        <v>1905</v>
      </c>
      <c r="I2" s="536" t="s">
        <v>1944</v>
      </c>
      <c r="J2" s="536" t="s">
        <v>690</v>
      </c>
      <c r="K2" s="536" t="s">
        <v>2150</v>
      </c>
      <c r="L2" s="946" t="s">
        <v>2151</v>
      </c>
      <c r="M2" s="946" t="s">
        <v>2152</v>
      </c>
      <c r="N2" s="536" t="s">
        <v>2064</v>
      </c>
      <c r="O2" s="536" t="s">
        <v>2153</v>
      </c>
      <c r="P2" s="536" t="s">
        <v>2154</v>
      </c>
      <c r="Q2" s="536" t="s">
        <v>2155</v>
      </c>
      <c r="R2" s="536" t="s">
        <v>2156</v>
      </c>
      <c r="S2" s="536" t="s">
        <v>2157</v>
      </c>
      <c r="T2" s="536" t="s">
        <v>324</v>
      </c>
      <c r="U2" s="536" t="s">
        <v>1901</v>
      </c>
    </row>
    <row r="3" spans="1:21" x14ac:dyDescent="0.25">
      <c r="A3" s="534" t="str">
        <f t="shared" ref="A3:A10" si="0">C3&amp;"-"&amp;B3</f>
        <v>Argentina-2b</v>
      </c>
      <c r="B3" s="8" t="str">
        <f>HYPERLINK('High impact policies'!B15)</f>
        <v>2b</v>
      </c>
      <c r="C3" t="s">
        <v>12</v>
      </c>
      <c r="D3" t="s">
        <v>1913</v>
      </c>
      <c r="E3">
        <v>8</v>
      </c>
      <c r="F3" s="534" t="s">
        <v>1904</v>
      </c>
      <c r="H3">
        <v>2017</v>
      </c>
      <c r="I3" t="s">
        <v>337</v>
      </c>
      <c r="K3" s="755" t="s">
        <v>31</v>
      </c>
      <c r="L3" s="755" t="s">
        <v>685</v>
      </c>
      <c r="M3" s="534" t="s">
        <v>685</v>
      </c>
      <c r="N3" s="759"/>
      <c r="O3" s="760"/>
      <c r="P3" s="761"/>
      <c r="Q3" s="762"/>
      <c r="R3" s="763"/>
      <c r="S3" s="755"/>
      <c r="T3" s="755"/>
      <c r="U3" s="755"/>
    </row>
    <row r="4" spans="1:21" x14ac:dyDescent="0.25">
      <c r="A4" s="534" t="str">
        <f t="shared" si="0"/>
        <v>Argentina-2c</v>
      </c>
      <c r="B4" s="8" t="str">
        <f>HYPERLINK('High impact policies'!B16)</f>
        <v>2c</v>
      </c>
      <c r="C4" s="534" t="s">
        <v>12</v>
      </c>
      <c r="D4" s="534" t="s">
        <v>1913</v>
      </c>
      <c r="E4">
        <v>12</v>
      </c>
      <c r="F4" s="534" t="s">
        <v>1904</v>
      </c>
      <c r="H4">
        <v>2019</v>
      </c>
      <c r="I4" s="534" t="s">
        <v>337</v>
      </c>
      <c r="K4" s="755" t="s">
        <v>31</v>
      </c>
      <c r="L4" s="755" t="s">
        <v>685</v>
      </c>
      <c r="M4" s="534" t="s">
        <v>685</v>
      </c>
      <c r="N4" s="764"/>
      <c r="O4" s="765"/>
      <c r="P4" s="521"/>
      <c r="Q4" s="766"/>
      <c r="R4" s="767"/>
      <c r="S4" s="755"/>
      <c r="T4" s="755"/>
      <c r="U4" s="755"/>
    </row>
    <row r="5" spans="1:21" x14ac:dyDescent="0.25">
      <c r="A5" s="534" t="str">
        <f t="shared" si="0"/>
        <v>Argentina-2d</v>
      </c>
      <c r="B5" s="8" t="str">
        <f>HYPERLINK('High impact policies'!B17)</f>
        <v>2d</v>
      </c>
      <c r="C5" s="534" t="s">
        <v>12</v>
      </c>
      <c r="D5" s="534" t="s">
        <v>1913</v>
      </c>
      <c r="E5">
        <v>16</v>
      </c>
      <c r="F5" s="534" t="s">
        <v>1904</v>
      </c>
      <c r="H5">
        <v>2021</v>
      </c>
      <c r="I5" s="534" t="s">
        <v>337</v>
      </c>
      <c r="K5" s="755" t="s">
        <v>31</v>
      </c>
      <c r="L5" s="755" t="s">
        <v>685</v>
      </c>
      <c r="M5" s="534" t="s">
        <v>685</v>
      </c>
      <c r="N5" s="764"/>
      <c r="O5" s="765"/>
      <c r="P5" s="521"/>
      <c r="Q5" s="766"/>
      <c r="R5" s="767"/>
      <c r="S5" s="755"/>
      <c r="T5" s="755"/>
      <c r="U5" s="755"/>
    </row>
    <row r="6" spans="1:21" x14ac:dyDescent="0.25">
      <c r="A6" s="534" t="str">
        <f t="shared" si="0"/>
        <v>Argentina-2e</v>
      </c>
      <c r="B6" s="8" t="str">
        <f>HYPERLINK('High impact policies'!B18)</f>
        <v>2e</v>
      </c>
      <c r="C6" s="534" t="s">
        <v>12</v>
      </c>
      <c r="D6" s="534" t="s">
        <v>1913</v>
      </c>
      <c r="E6">
        <v>18</v>
      </c>
      <c r="F6" s="534" t="s">
        <v>1904</v>
      </c>
      <c r="H6">
        <v>2023</v>
      </c>
      <c r="I6" s="534" t="s">
        <v>337</v>
      </c>
      <c r="K6" s="755" t="s">
        <v>31</v>
      </c>
      <c r="L6" s="755" t="s">
        <v>685</v>
      </c>
      <c r="M6" s="534" t="s">
        <v>685</v>
      </c>
      <c r="N6" s="764"/>
      <c r="O6" s="765"/>
      <c r="P6" s="521"/>
      <c r="Q6" s="766"/>
      <c r="R6" s="767"/>
      <c r="S6" s="755"/>
      <c r="T6" s="755"/>
      <c r="U6" s="755"/>
    </row>
    <row r="7" spans="1:21" x14ac:dyDescent="0.25">
      <c r="A7" s="534" t="str">
        <f t="shared" si="0"/>
        <v>Argentina-2f</v>
      </c>
      <c r="B7" s="8" t="str">
        <f>HYPERLINK('High impact policies'!B19)</f>
        <v>2f</v>
      </c>
      <c r="C7" s="534" t="s">
        <v>12</v>
      </c>
      <c r="D7" s="534" t="s">
        <v>1913</v>
      </c>
      <c r="E7">
        <v>20</v>
      </c>
      <c r="F7" s="534" t="s">
        <v>1904</v>
      </c>
      <c r="H7">
        <v>2025</v>
      </c>
      <c r="I7" s="534" t="s">
        <v>337</v>
      </c>
      <c r="K7" s="755" t="s">
        <v>31</v>
      </c>
      <c r="L7" s="755" t="s">
        <v>32</v>
      </c>
      <c r="M7" s="283" t="s">
        <v>2158</v>
      </c>
      <c r="N7" s="764"/>
      <c r="O7" s="765"/>
      <c r="P7" s="521"/>
      <c r="Q7" s="766"/>
      <c r="R7" s="767"/>
      <c r="S7" s="755"/>
      <c r="T7" s="755"/>
      <c r="U7" s="755"/>
    </row>
    <row r="8" spans="1:21" s="534" customFormat="1" x14ac:dyDescent="0.25">
      <c r="A8" s="534" t="str">
        <f t="shared" si="0"/>
        <v>Argentina-7a</v>
      </c>
      <c r="B8" s="8" t="str">
        <f>HYPERLINK('High impact policies'!B23)</f>
        <v>7a</v>
      </c>
      <c r="C8" s="534" t="s">
        <v>12</v>
      </c>
      <c r="D8" s="534" t="s">
        <v>1911</v>
      </c>
      <c r="E8" s="534">
        <v>200</v>
      </c>
      <c r="F8" s="534" t="s">
        <v>1910</v>
      </c>
      <c r="G8" s="534">
        <v>2013</v>
      </c>
      <c r="H8" s="534">
        <v>2016</v>
      </c>
      <c r="I8" s="534" t="s">
        <v>337</v>
      </c>
      <c r="K8" s="755" t="s">
        <v>32</v>
      </c>
      <c r="L8" s="755" t="s">
        <v>32</v>
      </c>
      <c r="M8" s="534" t="s">
        <v>32</v>
      </c>
      <c r="N8" s="768">
        <v>1.639063E-2</v>
      </c>
      <c r="O8" s="769">
        <v>1.6537450000000002E-2</v>
      </c>
      <c r="P8" s="770">
        <v>8.9575568480285608E-3</v>
      </c>
      <c r="Q8" s="771">
        <v>1.4682000000000237E-4</v>
      </c>
      <c r="R8" s="769">
        <v>1.0995138446574833E-4</v>
      </c>
      <c r="S8" s="755">
        <v>2015</v>
      </c>
      <c r="T8" s="755" t="s">
        <v>2159</v>
      </c>
      <c r="U8" s="755" t="s">
        <v>2160</v>
      </c>
    </row>
    <row r="9" spans="1:21" s="534" customFormat="1" x14ac:dyDescent="0.25">
      <c r="A9" s="534" t="str">
        <f t="shared" si="0"/>
        <v>Argentina-7b</v>
      </c>
      <c r="B9" s="8" t="str">
        <f>HYPERLINK('High impact policies'!B24)</f>
        <v>7b</v>
      </c>
      <c r="C9" s="534" t="s">
        <v>12</v>
      </c>
      <c r="D9" s="534" t="s">
        <v>1912</v>
      </c>
      <c r="E9" s="534">
        <v>200</v>
      </c>
      <c r="F9" s="534" t="s">
        <v>1910</v>
      </c>
      <c r="G9" s="534">
        <v>2013</v>
      </c>
      <c r="H9" s="534">
        <v>2016</v>
      </c>
      <c r="I9" s="534" t="s">
        <v>337</v>
      </c>
      <c r="K9" s="755" t="s">
        <v>32</v>
      </c>
      <c r="L9" s="755" t="s">
        <v>32</v>
      </c>
      <c r="M9" s="534" t="s">
        <v>32</v>
      </c>
      <c r="N9" s="764">
        <v>1.639063E-2</v>
      </c>
      <c r="O9" s="765">
        <v>1.6537450000000002E-2</v>
      </c>
      <c r="P9" s="106">
        <v>8.9575568480285608E-3</v>
      </c>
      <c r="Q9" s="772">
        <v>1.4682000000000237E-4</v>
      </c>
      <c r="R9" s="765">
        <v>1.0995138446574833E-4</v>
      </c>
      <c r="S9" s="755">
        <v>2015</v>
      </c>
      <c r="T9" s="755" t="s">
        <v>2159</v>
      </c>
      <c r="U9" s="755" t="s">
        <v>2160</v>
      </c>
    </row>
    <row r="10" spans="1:21" x14ac:dyDescent="0.25">
      <c r="A10" s="534" t="str">
        <f t="shared" si="0"/>
        <v>Argentina-1b</v>
      </c>
      <c r="B10" s="8" t="str">
        <f>HYPERLINK('High impact policies'!B13)</f>
        <v>1b</v>
      </c>
      <c r="C10" s="534" t="s">
        <v>12</v>
      </c>
      <c r="D10" t="s">
        <v>1931</v>
      </c>
      <c r="E10">
        <v>12</v>
      </c>
      <c r="F10" s="534" t="s">
        <v>1904</v>
      </c>
      <c r="G10">
        <v>2016</v>
      </c>
      <c r="I10" s="534" t="s">
        <v>337</v>
      </c>
      <c r="K10" s="755" t="s">
        <v>32</v>
      </c>
      <c r="L10" s="755" t="s">
        <v>32</v>
      </c>
      <c r="M10" s="534" t="s">
        <v>2161</v>
      </c>
      <c r="N10" s="764">
        <v>3.9643890857696531E-3</v>
      </c>
      <c r="O10" s="765">
        <v>7.8364883422851569E-2</v>
      </c>
      <c r="P10" s="106">
        <v>18.767202897451646</v>
      </c>
      <c r="Q10" s="772">
        <v>7.4400494337081916E-2</v>
      </c>
      <c r="R10" s="765">
        <v>4.5012191365081063E-2</v>
      </c>
      <c r="S10" s="755">
        <v>2020</v>
      </c>
      <c r="T10" s="755" t="s">
        <v>2159</v>
      </c>
      <c r="U10" s="755" t="s">
        <v>2162</v>
      </c>
    </row>
    <row r="11" spans="1:21" x14ac:dyDescent="0.25">
      <c r="A11" s="534" t="str">
        <f>C11&amp;"-"&amp;B11</f>
        <v>Argentina-4</v>
      </c>
      <c r="B11" s="8" t="str">
        <f>HYPERLINK('High impact policies'!B29)</f>
        <v>4</v>
      </c>
      <c r="C11" s="534" t="s">
        <v>12</v>
      </c>
      <c r="D11" t="s">
        <v>1906</v>
      </c>
      <c r="E11" s="701">
        <v>4700000</v>
      </c>
      <c r="F11" s="534" t="s">
        <v>1907</v>
      </c>
      <c r="G11">
        <v>2007</v>
      </c>
      <c r="H11">
        <v>2030</v>
      </c>
      <c r="I11" s="534" t="s">
        <v>337</v>
      </c>
      <c r="K11" s="755" t="s">
        <v>2163</v>
      </c>
      <c r="L11" s="755"/>
      <c r="M11" s="534"/>
      <c r="N11" s="764"/>
      <c r="O11" s="765"/>
      <c r="P11" s="521"/>
      <c r="Q11" s="772"/>
      <c r="R11" s="765"/>
      <c r="S11" s="755"/>
      <c r="T11" s="755"/>
      <c r="U11" s="755"/>
    </row>
    <row r="12" spans="1:21" x14ac:dyDescent="0.25">
      <c r="A12" s="534" t="str">
        <f t="shared" ref="A12:A75" si="1">C12&amp;"-"&amp;B12</f>
        <v>Argentina-4</v>
      </c>
      <c r="B12" s="534" t="str">
        <f>B11</f>
        <v>4</v>
      </c>
      <c r="C12" s="706" t="s">
        <v>12</v>
      </c>
      <c r="D12" s="706" t="s">
        <v>1909</v>
      </c>
      <c r="E12" s="707">
        <v>1.3</v>
      </c>
      <c r="F12" s="706" t="s">
        <v>1908</v>
      </c>
      <c r="G12" s="706">
        <v>2007</v>
      </c>
      <c r="H12" s="706">
        <v>2030</v>
      </c>
      <c r="I12" s="706" t="s">
        <v>1945</v>
      </c>
      <c r="K12" s="755" t="s">
        <v>2163</v>
      </c>
      <c r="L12" s="755"/>
      <c r="M12" s="534"/>
      <c r="N12" s="764"/>
      <c r="O12" s="765"/>
      <c r="P12" s="521"/>
      <c r="Q12" s="772"/>
      <c r="R12" s="765"/>
      <c r="S12" s="755"/>
      <c r="T12" s="755"/>
      <c r="U12" s="755"/>
    </row>
    <row r="13" spans="1:21" x14ac:dyDescent="0.25">
      <c r="A13" s="534" t="str">
        <f t="shared" si="1"/>
        <v>Australia-6</v>
      </c>
      <c r="B13" s="8" t="str">
        <f>HYPERLINK('High impact policies'!B48)</f>
        <v>6</v>
      </c>
      <c r="C13" t="s">
        <v>7</v>
      </c>
      <c r="D13" t="s">
        <v>1938</v>
      </c>
      <c r="E13">
        <v>-55</v>
      </c>
      <c r="F13" s="534" t="s">
        <v>1904</v>
      </c>
      <c r="G13">
        <v>2010</v>
      </c>
      <c r="H13">
        <v>2030</v>
      </c>
      <c r="I13" s="534" t="s">
        <v>337</v>
      </c>
      <c r="K13" s="755" t="s">
        <v>31</v>
      </c>
      <c r="L13" s="755"/>
      <c r="M13" s="534"/>
      <c r="N13" s="764"/>
      <c r="O13" s="765"/>
      <c r="P13" s="521"/>
      <c r="Q13" s="772"/>
      <c r="R13" s="765"/>
      <c r="S13" s="755"/>
      <c r="T13" s="755"/>
      <c r="U13" s="755"/>
    </row>
    <row r="14" spans="1:21" x14ac:dyDescent="0.25">
      <c r="A14" s="534" t="str">
        <f t="shared" si="1"/>
        <v>Australia-1a</v>
      </c>
      <c r="B14" s="8" t="str">
        <f>HYPERLINK('High impact policies'!B36)</f>
        <v>1a</v>
      </c>
      <c r="C14" s="534" t="s">
        <v>7</v>
      </c>
      <c r="D14" t="s">
        <v>1914</v>
      </c>
      <c r="E14">
        <v>33000</v>
      </c>
      <c r="F14" s="534" t="s">
        <v>1915</v>
      </c>
      <c r="H14">
        <v>2020</v>
      </c>
      <c r="I14" s="534" t="s">
        <v>337</v>
      </c>
      <c r="K14" s="755" t="s">
        <v>31</v>
      </c>
      <c r="L14" s="755"/>
      <c r="M14" s="534"/>
      <c r="N14" s="764"/>
      <c r="O14" s="765"/>
      <c r="P14" s="521"/>
      <c r="Q14" s="772"/>
      <c r="R14" s="765"/>
      <c r="S14" s="755"/>
      <c r="T14" s="755"/>
      <c r="U14" s="755"/>
    </row>
    <row r="15" spans="1:21" x14ac:dyDescent="0.25">
      <c r="A15" s="534" t="str">
        <f t="shared" si="1"/>
        <v>Australia-1a</v>
      </c>
      <c r="B15" s="534" t="str">
        <f>$B$14</f>
        <v>1a</v>
      </c>
      <c r="C15" s="706" t="s">
        <v>7</v>
      </c>
      <c r="D15" s="706" t="s">
        <v>1913</v>
      </c>
      <c r="E15" s="706">
        <v>23.5</v>
      </c>
      <c r="F15" s="706" t="s">
        <v>1904</v>
      </c>
      <c r="G15" s="706"/>
      <c r="H15" s="706">
        <v>2020</v>
      </c>
      <c r="I15" s="706" t="s">
        <v>1945</v>
      </c>
      <c r="K15" s="755" t="s">
        <v>31</v>
      </c>
      <c r="L15" s="755"/>
      <c r="M15" s="534"/>
      <c r="N15" s="764"/>
      <c r="O15" s="765"/>
      <c r="P15" s="521"/>
      <c r="Q15" s="772"/>
      <c r="R15" s="765"/>
      <c r="S15" s="755"/>
      <c r="T15" s="755"/>
      <c r="U15" s="755"/>
    </row>
    <row r="16" spans="1:21" x14ac:dyDescent="0.25">
      <c r="A16" s="534" t="str">
        <f t="shared" si="1"/>
        <v>Australia-5</v>
      </c>
      <c r="B16" s="8" t="str">
        <f>HYPERLINK('High impact policies'!B47)</f>
        <v>5</v>
      </c>
      <c r="C16" s="534" t="s">
        <v>7</v>
      </c>
      <c r="D16" t="s">
        <v>1916</v>
      </c>
      <c r="E16">
        <v>20000</v>
      </c>
      <c r="F16" s="534" t="s">
        <v>1907</v>
      </c>
      <c r="H16">
        <v>2020</v>
      </c>
      <c r="I16" s="534" t="s">
        <v>337</v>
      </c>
      <c r="K16" s="755" t="s">
        <v>2163</v>
      </c>
      <c r="L16" s="755"/>
      <c r="M16" s="534"/>
      <c r="N16" s="764"/>
      <c r="O16" s="765"/>
      <c r="P16" s="521"/>
      <c r="Q16" s="772"/>
      <c r="R16" s="765"/>
      <c r="S16" s="755"/>
      <c r="T16" s="755"/>
      <c r="U16" s="755"/>
    </row>
    <row r="17" spans="1:21" x14ac:dyDescent="0.25">
      <c r="A17" s="534" t="str">
        <f t="shared" si="1"/>
        <v>Australia-3b</v>
      </c>
      <c r="B17" s="8" t="str">
        <f>HYPERLINK('High impact policies'!B41)</f>
        <v>3b</v>
      </c>
      <c r="C17" s="534" t="s">
        <v>7</v>
      </c>
      <c r="D17" t="s">
        <v>1939</v>
      </c>
      <c r="E17">
        <v>-4.2</v>
      </c>
      <c r="F17" s="534" t="s">
        <v>1917</v>
      </c>
      <c r="G17">
        <v>2010</v>
      </c>
      <c r="H17">
        <v>2020</v>
      </c>
      <c r="I17" s="534" t="s">
        <v>337</v>
      </c>
      <c r="K17" s="755" t="s">
        <v>2163</v>
      </c>
      <c r="L17" s="755"/>
      <c r="M17" s="534"/>
      <c r="N17" s="764"/>
      <c r="O17" s="765"/>
      <c r="P17" s="521"/>
      <c r="Q17" s="772"/>
      <c r="R17" s="765"/>
      <c r="S17" s="755"/>
      <c r="T17" s="755"/>
      <c r="U17" s="755"/>
    </row>
    <row r="18" spans="1:21" x14ac:dyDescent="0.25">
      <c r="A18" s="534" t="str">
        <f t="shared" si="1"/>
        <v>Australia-?</v>
      </c>
      <c r="B18" s="534" t="s">
        <v>493</v>
      </c>
      <c r="C18" s="534" t="s">
        <v>7</v>
      </c>
      <c r="D18" t="s">
        <v>1940</v>
      </c>
      <c r="E18">
        <v>-1.9</v>
      </c>
      <c r="F18" s="534" t="s">
        <v>1917</v>
      </c>
      <c r="G18">
        <v>2010</v>
      </c>
      <c r="H18">
        <v>2020</v>
      </c>
      <c r="I18" s="534" t="s">
        <v>337</v>
      </c>
      <c r="K18" s="755" t="s">
        <v>2163</v>
      </c>
      <c r="L18" s="755"/>
      <c r="M18" s="534"/>
      <c r="N18" s="764"/>
      <c r="O18" s="765"/>
      <c r="P18" s="521"/>
      <c r="Q18" s="772"/>
      <c r="R18" s="765"/>
      <c r="S18" s="755"/>
      <c r="T18" s="755"/>
      <c r="U18" s="755"/>
    </row>
    <row r="19" spans="1:21" x14ac:dyDescent="0.25">
      <c r="A19" s="534" t="str">
        <f t="shared" si="1"/>
        <v>Australia-8</v>
      </c>
      <c r="B19" s="8" t="str">
        <f>HYPERLINK('High impact policies'!B43)</f>
        <v>8</v>
      </c>
      <c r="C19" s="703" t="s">
        <v>7</v>
      </c>
      <c r="D19" s="703" t="s">
        <v>1920</v>
      </c>
      <c r="E19" s="703">
        <v>0.4</v>
      </c>
      <c r="F19" s="703" t="s">
        <v>1918</v>
      </c>
      <c r="G19" s="703">
        <v>2016</v>
      </c>
      <c r="H19" s="703"/>
      <c r="I19" s="703" t="s">
        <v>1946</v>
      </c>
      <c r="K19" s="755" t="s">
        <v>32</v>
      </c>
      <c r="L19" s="755" t="s">
        <v>32</v>
      </c>
      <c r="M19" s="534" t="s">
        <v>32</v>
      </c>
      <c r="N19" s="768">
        <v>1.3289085083007812</v>
      </c>
      <c r="O19" s="769">
        <v>1.0620116271972657</v>
      </c>
      <c r="P19" s="770">
        <v>-0.20083916946606445</v>
      </c>
      <c r="Q19" s="771">
        <v>-0.2668968811035155</v>
      </c>
      <c r="R19" s="769">
        <v>-0.15215201895657432</v>
      </c>
      <c r="S19" s="755">
        <v>2030</v>
      </c>
      <c r="T19" s="755" t="s">
        <v>2164</v>
      </c>
      <c r="U19" s="755" t="s">
        <v>2165</v>
      </c>
    </row>
    <row r="20" spans="1:21" x14ac:dyDescent="0.25">
      <c r="A20" s="534" t="str">
        <f t="shared" si="1"/>
        <v>Australia-8</v>
      </c>
      <c r="B20" s="8" t="str">
        <f>HYPERLINK('High impact policies'!B43)</f>
        <v>8</v>
      </c>
      <c r="C20" s="703" t="s">
        <v>7</v>
      </c>
      <c r="D20" s="703" t="s">
        <v>1919</v>
      </c>
      <c r="E20" s="703">
        <v>1.2999999999999999E-2</v>
      </c>
      <c r="F20" s="703" t="s">
        <v>1918</v>
      </c>
      <c r="G20" s="703">
        <v>2016</v>
      </c>
      <c r="H20" s="703"/>
      <c r="I20" s="703" t="s">
        <v>1946</v>
      </c>
      <c r="J20" s="668"/>
      <c r="K20" s="755" t="s">
        <v>32</v>
      </c>
      <c r="L20" s="755" t="s">
        <v>685</v>
      </c>
      <c r="M20" s="534" t="s">
        <v>685</v>
      </c>
      <c r="N20" s="764">
        <v>0.18783079528808594</v>
      </c>
      <c r="O20" s="765">
        <v>0.23558949279785157</v>
      </c>
      <c r="P20" s="773">
        <v>0.25426446944717246</v>
      </c>
      <c r="Q20" s="772">
        <v>4.7758697509765635E-2</v>
      </c>
      <c r="R20" s="765">
        <v>2.7226178960213582E-2</v>
      </c>
      <c r="S20" s="755">
        <v>2030</v>
      </c>
      <c r="T20" s="755" t="s">
        <v>2164</v>
      </c>
      <c r="U20" s="755" t="s">
        <v>2162</v>
      </c>
    </row>
    <row r="21" spans="1:21" s="534" customFormat="1" x14ac:dyDescent="0.25">
      <c r="A21" s="534" t="str">
        <f t="shared" si="1"/>
        <v>Australia-4</v>
      </c>
      <c r="B21" s="8" t="str">
        <f>HYPERLINK('High impact policies'!B42)</f>
        <v>4</v>
      </c>
      <c r="C21" s="738" t="s">
        <v>7</v>
      </c>
      <c r="D21" s="738" t="s">
        <v>2129</v>
      </c>
      <c r="E21" s="753">
        <v>0.4</v>
      </c>
      <c r="F21" s="753" t="s">
        <v>2130</v>
      </c>
      <c r="G21" s="738">
        <v>2015</v>
      </c>
      <c r="H21" s="738">
        <v>2030</v>
      </c>
      <c r="I21" s="738" t="s">
        <v>784</v>
      </c>
      <c r="J21" s="743"/>
      <c r="K21" s="755" t="s">
        <v>31</v>
      </c>
      <c r="N21" s="764"/>
      <c r="O21" s="765"/>
      <c r="P21" s="773"/>
      <c r="Q21" s="772"/>
      <c r="R21" s="765"/>
    </row>
    <row r="22" spans="1:21" x14ac:dyDescent="0.25">
      <c r="A22" s="534" t="str">
        <f t="shared" si="1"/>
        <v>Brazil-2b</v>
      </c>
      <c r="B22" s="8" t="str">
        <f>HYPERLINK('High impact policies'!B58)</f>
        <v>2b</v>
      </c>
      <c r="C22" t="s">
        <v>0</v>
      </c>
      <c r="D22" t="s">
        <v>1921</v>
      </c>
      <c r="E22">
        <v>45</v>
      </c>
      <c r="F22" s="534" t="s">
        <v>1904</v>
      </c>
      <c r="H22">
        <v>2024</v>
      </c>
      <c r="I22" s="534" t="s">
        <v>337</v>
      </c>
      <c r="K22" s="755" t="s">
        <v>31</v>
      </c>
      <c r="L22" s="755"/>
      <c r="M22" s="534"/>
      <c r="N22" s="764"/>
      <c r="O22" s="765"/>
      <c r="P22" s="521"/>
      <c r="Q22" s="772"/>
      <c r="R22" s="765"/>
      <c r="S22" s="755"/>
      <c r="T22" s="755"/>
      <c r="U22" s="755"/>
    </row>
    <row r="23" spans="1:21" s="534" customFormat="1" x14ac:dyDescent="0.25">
      <c r="A23" s="534" t="str">
        <f t="shared" si="1"/>
        <v>Brazil-2a</v>
      </c>
      <c r="B23" s="8" t="str">
        <f>HYPERLINK('High impact policies'!B52)</f>
        <v>2a</v>
      </c>
      <c r="C23" s="534" t="s">
        <v>0</v>
      </c>
      <c r="D23" s="534" t="s">
        <v>1923</v>
      </c>
      <c r="E23" s="534">
        <v>16</v>
      </c>
      <c r="F23" s="534" t="s">
        <v>1904</v>
      </c>
      <c r="H23" s="534">
        <v>2024</v>
      </c>
      <c r="I23" s="534" t="s">
        <v>337</v>
      </c>
      <c r="K23" s="755" t="s">
        <v>31</v>
      </c>
      <c r="L23" s="755"/>
      <c r="N23" s="764"/>
      <c r="O23" s="765"/>
      <c r="P23" s="521"/>
      <c r="Q23" s="772"/>
      <c r="R23" s="765"/>
      <c r="S23" s="755"/>
      <c r="T23" s="755"/>
      <c r="U23" s="755"/>
    </row>
    <row r="24" spans="1:21" s="534" customFormat="1" x14ac:dyDescent="0.25">
      <c r="A24" s="534" t="str">
        <f t="shared" si="1"/>
        <v>Brazil-2a</v>
      </c>
      <c r="B24" s="8" t="str">
        <f>HYPERLINK('High impact policies'!B53)</f>
        <v>2a</v>
      </c>
      <c r="C24" s="534" t="s">
        <v>0</v>
      </c>
      <c r="D24" s="534" t="s">
        <v>1925</v>
      </c>
      <c r="E24" s="385">
        <v>88.5</v>
      </c>
      <c r="F24" s="385" t="s">
        <v>1883</v>
      </c>
      <c r="G24" s="385"/>
      <c r="H24" s="385">
        <v>2025</v>
      </c>
      <c r="I24" s="534" t="s">
        <v>337</v>
      </c>
      <c r="J24" s="18"/>
      <c r="K24" s="755" t="s">
        <v>32</v>
      </c>
      <c r="L24" s="755" t="s">
        <v>32</v>
      </c>
      <c r="M24" s="534" t="s">
        <v>493</v>
      </c>
      <c r="N24" s="774">
        <v>2.1925230080000002</v>
      </c>
      <c r="O24" s="775">
        <v>2.101232</v>
      </c>
      <c r="P24" s="776">
        <v>-4.1637423035881874E-2</v>
      </c>
      <c r="Q24" s="777">
        <v>-9.1291008000000229E-2</v>
      </c>
      <c r="R24" s="775">
        <v>-4.5026542162968836E-2</v>
      </c>
      <c r="S24" s="755">
        <v>2025</v>
      </c>
      <c r="T24" s="755" t="s">
        <v>291</v>
      </c>
      <c r="U24" s="755" t="s">
        <v>2166</v>
      </c>
    </row>
    <row r="25" spans="1:21" s="534" customFormat="1" x14ac:dyDescent="0.25">
      <c r="A25" s="534" t="str">
        <f t="shared" si="1"/>
        <v>Brazil-2a</v>
      </c>
      <c r="B25" s="8" t="str">
        <f>HYPERLINK('High impact policies'!B54)</f>
        <v>2a</v>
      </c>
      <c r="C25" s="534" t="s">
        <v>0</v>
      </c>
      <c r="D25" s="534" t="s">
        <v>1926</v>
      </c>
      <c r="E25" s="385">
        <v>5.6</v>
      </c>
      <c r="F25" s="385" t="s">
        <v>1883</v>
      </c>
      <c r="G25" s="385"/>
      <c r="H25" s="385">
        <v>2025</v>
      </c>
      <c r="I25" s="534" t="s">
        <v>337</v>
      </c>
      <c r="J25" s="18"/>
      <c r="K25" s="755" t="s">
        <v>32</v>
      </c>
      <c r="L25" s="755" t="s">
        <v>685</v>
      </c>
      <c r="M25" s="534" t="s">
        <v>685</v>
      </c>
      <c r="N25" s="764" t="s">
        <v>685</v>
      </c>
      <c r="O25" s="765" t="s">
        <v>685</v>
      </c>
      <c r="P25" s="521" t="s">
        <v>685</v>
      </c>
      <c r="Q25" s="778" t="s">
        <v>685</v>
      </c>
      <c r="R25" s="765" t="s">
        <v>685</v>
      </c>
      <c r="S25" s="755"/>
      <c r="T25" s="755"/>
      <c r="U25" s="755"/>
    </row>
    <row r="26" spans="1:21" s="534" customFormat="1" x14ac:dyDescent="0.25">
      <c r="A26" s="534" t="str">
        <f t="shared" si="1"/>
        <v>Brazil-2a</v>
      </c>
      <c r="B26" s="8" t="str">
        <f>HYPERLINK(('High impact policies'!B55))</f>
        <v>2a</v>
      </c>
      <c r="C26" s="534" t="s">
        <v>0</v>
      </c>
      <c r="D26" s="534" t="s">
        <v>1927</v>
      </c>
      <c r="E26" s="385">
        <v>13</v>
      </c>
      <c r="F26" s="385" t="s">
        <v>1883</v>
      </c>
      <c r="G26" s="385"/>
      <c r="H26" s="385">
        <v>2025</v>
      </c>
      <c r="I26" s="534" t="s">
        <v>337</v>
      </c>
      <c r="J26" s="18"/>
      <c r="K26" s="755" t="s">
        <v>32</v>
      </c>
      <c r="L26" s="755" t="s">
        <v>32</v>
      </c>
      <c r="M26" s="534" t="s">
        <v>32</v>
      </c>
      <c r="N26" s="768">
        <v>6.9365104000000011E-2</v>
      </c>
      <c r="O26" s="769">
        <v>0.45139868800000005</v>
      </c>
      <c r="P26" s="770">
        <v>5.5075760284306643</v>
      </c>
      <c r="Q26" s="771">
        <v>0.38203358400000004</v>
      </c>
      <c r="R26" s="769">
        <v>0.18842656746265807</v>
      </c>
      <c r="S26" s="755">
        <v>2025</v>
      </c>
      <c r="T26" s="755" t="s">
        <v>291</v>
      </c>
      <c r="U26" s="755" t="s">
        <v>2160</v>
      </c>
    </row>
    <row r="27" spans="1:21" s="534" customFormat="1" x14ac:dyDescent="0.25">
      <c r="A27" s="534" t="str">
        <f t="shared" si="1"/>
        <v>Brazil-2a</v>
      </c>
      <c r="B27" s="8" t="str">
        <f>HYPERLINK('High impact policies'!B56)</f>
        <v>2a</v>
      </c>
      <c r="C27" s="534" t="s">
        <v>0</v>
      </c>
      <c r="D27" s="534" t="s">
        <v>1928</v>
      </c>
      <c r="E27" s="385">
        <v>0</v>
      </c>
      <c r="F27" s="385" t="s">
        <v>1883</v>
      </c>
      <c r="G27" s="385"/>
      <c r="H27" s="385">
        <v>2025</v>
      </c>
      <c r="I27" s="534" t="s">
        <v>337</v>
      </c>
      <c r="J27" s="18"/>
      <c r="K27" s="755" t="s">
        <v>32</v>
      </c>
      <c r="L27" s="755" t="s">
        <v>32</v>
      </c>
      <c r="M27" s="534" t="s">
        <v>32</v>
      </c>
      <c r="N27" s="768">
        <v>2.1552137000000002E-2</v>
      </c>
      <c r="O27" s="769">
        <v>4.7156364000000006E-2</v>
      </c>
      <c r="P27" s="770">
        <v>1.188013374265392</v>
      </c>
      <c r="Q27" s="771">
        <v>2.5604227000000004E-2</v>
      </c>
      <c r="R27" s="769">
        <v>1.2628514372036754E-2</v>
      </c>
      <c r="S27" s="755">
        <v>2025</v>
      </c>
      <c r="T27" s="755" t="s">
        <v>291</v>
      </c>
      <c r="U27" s="755" t="s">
        <v>2167</v>
      </c>
    </row>
    <row r="28" spans="1:21" s="534" customFormat="1" x14ac:dyDescent="0.25">
      <c r="A28" s="534" t="str">
        <f t="shared" si="1"/>
        <v>Brazil-2a</v>
      </c>
      <c r="B28" s="8" t="str">
        <f>HYPERLINK('High impact policies'!B57)</f>
        <v>2a</v>
      </c>
      <c r="C28" s="534" t="s">
        <v>0</v>
      </c>
      <c r="D28" s="534" t="s">
        <v>1929</v>
      </c>
      <c r="E28" s="385">
        <v>16.5</v>
      </c>
      <c r="F28" s="385" t="s">
        <v>1883</v>
      </c>
      <c r="G28" s="385"/>
      <c r="H28" s="385">
        <v>2025</v>
      </c>
      <c r="I28" s="534" t="s">
        <v>337</v>
      </c>
      <c r="J28" s="18"/>
      <c r="K28" s="755" t="s">
        <v>32</v>
      </c>
      <c r="L28" s="755" t="s">
        <v>32</v>
      </c>
      <c r="M28" s="534" t="s">
        <v>32</v>
      </c>
      <c r="N28" s="768">
        <v>9.1140223000000006E-2</v>
      </c>
      <c r="O28" s="769">
        <v>0.17959249100000002</v>
      </c>
      <c r="P28" s="770">
        <v>0.97050747835014628</v>
      </c>
      <c r="Q28" s="771">
        <v>8.8452268000000014E-2</v>
      </c>
      <c r="R28" s="769">
        <v>4.3626419093895974E-2</v>
      </c>
      <c r="S28" s="755">
        <v>2025</v>
      </c>
      <c r="T28" s="755" t="s">
        <v>291</v>
      </c>
      <c r="U28" s="755" t="s">
        <v>2168</v>
      </c>
    </row>
    <row r="29" spans="1:21" x14ac:dyDescent="0.25">
      <c r="A29" s="534" t="str">
        <f t="shared" si="1"/>
        <v>Brazil-11</v>
      </c>
      <c r="B29" s="8" t="str">
        <f>HYPERLINK('High impact policies'!B72)</f>
        <v>11</v>
      </c>
      <c r="C29" t="s">
        <v>0</v>
      </c>
      <c r="D29" t="s">
        <v>1922</v>
      </c>
      <c r="E29">
        <v>98</v>
      </c>
      <c r="F29" s="534" t="s">
        <v>1904</v>
      </c>
      <c r="H29">
        <v>2018</v>
      </c>
      <c r="I29" s="534" t="s">
        <v>337</v>
      </c>
      <c r="K29" s="755" t="s">
        <v>32</v>
      </c>
      <c r="L29" s="755" t="s">
        <v>32</v>
      </c>
      <c r="M29" s="283" t="s">
        <v>2158</v>
      </c>
      <c r="N29" s="774">
        <v>1.1363508911132814</v>
      </c>
      <c r="O29" s="775">
        <v>1.1249578247070313</v>
      </c>
      <c r="P29" s="776">
        <v>-1.00260108874366E-2</v>
      </c>
      <c r="Q29" s="777">
        <v>-1.1393066406250041E-2</v>
      </c>
      <c r="R29" s="775">
        <v>-6.7075519062330009E-3</v>
      </c>
      <c r="S29" s="755">
        <v>2020</v>
      </c>
      <c r="T29" s="755" t="s">
        <v>291</v>
      </c>
      <c r="U29" s="755" t="s">
        <v>2169</v>
      </c>
    </row>
    <row r="30" spans="1:21" x14ac:dyDescent="0.25">
      <c r="A30" s="534" t="str">
        <f t="shared" si="1"/>
        <v>Brazil-6</v>
      </c>
      <c r="B30" s="8" t="str">
        <f>HYPERLINK('High impact policies'!B66)</f>
        <v>6</v>
      </c>
      <c r="C30" s="703" t="s">
        <v>0</v>
      </c>
      <c r="D30" s="703" t="s">
        <v>1930</v>
      </c>
      <c r="E30" s="703"/>
      <c r="F30" s="703"/>
      <c r="G30" s="703">
        <v>2014</v>
      </c>
      <c r="I30" s="703" t="s">
        <v>1946</v>
      </c>
      <c r="K30" s="755" t="s">
        <v>32</v>
      </c>
      <c r="L30" s="755" t="s">
        <v>32</v>
      </c>
      <c r="M30" s="283" t="s">
        <v>32</v>
      </c>
      <c r="N30" s="768">
        <v>1.1363508911132814</v>
      </c>
      <c r="O30" s="769">
        <v>1.1249578247070313</v>
      </c>
      <c r="P30" s="770">
        <v>-1.00260108874366E-2</v>
      </c>
      <c r="Q30" s="771">
        <v>-1.1393066406250041E-2</v>
      </c>
      <c r="R30" s="769">
        <v>-6.7075519062330009E-3</v>
      </c>
      <c r="S30" s="755">
        <v>2020</v>
      </c>
      <c r="T30" s="755" t="s">
        <v>291</v>
      </c>
      <c r="U30" s="755" t="s">
        <v>2169</v>
      </c>
    </row>
    <row r="31" spans="1:21" s="534" customFormat="1" x14ac:dyDescent="0.25">
      <c r="A31" s="534" t="str">
        <f t="shared" si="1"/>
        <v>Brazil-4b1</v>
      </c>
      <c r="B31" s="8" t="str">
        <f>HYPERLINK('High impact policies'!B61)</f>
        <v>4b1</v>
      </c>
      <c r="C31" s="385" t="s">
        <v>0</v>
      </c>
      <c r="D31" s="385" t="s">
        <v>1932</v>
      </c>
      <c r="E31" s="18">
        <v>27</v>
      </c>
      <c r="F31" s="385" t="s">
        <v>1904</v>
      </c>
      <c r="G31" s="385">
        <v>2015</v>
      </c>
      <c r="H31" s="385"/>
      <c r="I31" s="534" t="s">
        <v>337</v>
      </c>
      <c r="K31" s="755" t="s">
        <v>32</v>
      </c>
      <c r="L31" s="755" t="s">
        <v>685</v>
      </c>
      <c r="M31" s="283" t="s">
        <v>685</v>
      </c>
      <c r="N31" s="764">
        <v>0.24558630371093751</v>
      </c>
      <c r="O31" s="765">
        <v>0.47262271118164062</v>
      </c>
      <c r="P31" s="773">
        <v>0.92446689428548834</v>
      </c>
      <c r="Q31" s="772">
        <v>0.22703640747070311</v>
      </c>
      <c r="R31" s="765">
        <v>0.13366537448416807</v>
      </c>
      <c r="S31" s="755">
        <v>2020</v>
      </c>
      <c r="T31" s="755" t="s">
        <v>291</v>
      </c>
      <c r="U31" s="755" t="s">
        <v>2162</v>
      </c>
    </row>
    <row r="32" spans="1:21" s="534" customFormat="1" x14ac:dyDescent="0.25">
      <c r="A32" s="534" t="str">
        <f t="shared" si="1"/>
        <v>Brazil-4a</v>
      </c>
      <c r="B32" s="8" t="str">
        <f>HYPERLINK('High impact policies'!B60)</f>
        <v>4a</v>
      </c>
      <c r="C32" s="385" t="s">
        <v>0</v>
      </c>
      <c r="D32" s="385" t="s">
        <v>1933</v>
      </c>
      <c r="E32" s="385">
        <v>7</v>
      </c>
      <c r="F32" s="385" t="s">
        <v>1904</v>
      </c>
      <c r="G32" s="385">
        <v>2015</v>
      </c>
      <c r="H32" s="385"/>
      <c r="I32" s="534" t="s">
        <v>337</v>
      </c>
      <c r="K32" s="755" t="s">
        <v>32</v>
      </c>
      <c r="L32" s="755" t="s">
        <v>685</v>
      </c>
      <c r="M32" s="283" t="s">
        <v>685</v>
      </c>
      <c r="N32" s="764">
        <v>0.24558630371093751</v>
      </c>
      <c r="O32" s="765">
        <v>0.47262271118164062</v>
      </c>
      <c r="P32" s="106">
        <v>0.92446689428548834</v>
      </c>
      <c r="Q32" s="772">
        <v>0.22703640747070311</v>
      </c>
      <c r="R32" s="765">
        <v>0.13366537448416807</v>
      </c>
      <c r="S32" s="755">
        <v>2020</v>
      </c>
      <c r="T32" s="755" t="s">
        <v>291</v>
      </c>
      <c r="U32" s="755" t="s">
        <v>2162</v>
      </c>
    </row>
    <row r="33" spans="1:22" s="534" customFormat="1" x14ac:dyDescent="0.25">
      <c r="A33" s="534" t="str">
        <f t="shared" si="1"/>
        <v>Brazil-4a</v>
      </c>
      <c r="B33" s="534" t="str">
        <f>$B$32</f>
        <v>4a</v>
      </c>
      <c r="C33" s="385" t="s">
        <v>0</v>
      </c>
      <c r="D33" s="385" t="s">
        <v>1933</v>
      </c>
      <c r="E33" s="385">
        <v>10</v>
      </c>
      <c r="F33" s="385" t="s">
        <v>1904</v>
      </c>
      <c r="G33" s="385">
        <v>2019</v>
      </c>
      <c r="H33" s="385"/>
      <c r="I33" s="385" t="s">
        <v>337</v>
      </c>
      <c r="K33" s="755" t="s">
        <v>32</v>
      </c>
      <c r="L33" s="755" t="s">
        <v>685</v>
      </c>
      <c r="M33" s="283"/>
      <c r="N33" s="764"/>
      <c r="O33" s="765"/>
      <c r="P33" s="106"/>
      <c r="Q33" s="772"/>
      <c r="R33" s="765"/>
    </row>
    <row r="34" spans="1:22" s="534" customFormat="1" x14ac:dyDescent="0.25">
      <c r="A34" s="534" t="str">
        <f t="shared" si="1"/>
        <v>Brazil-4b2</v>
      </c>
      <c r="B34" s="8" t="str">
        <f>HYPERLINK('High impact policies'!B62)</f>
        <v>4b2</v>
      </c>
      <c r="C34" s="385" t="s">
        <v>0</v>
      </c>
      <c r="D34" s="385" t="s">
        <v>1931</v>
      </c>
      <c r="E34" s="385">
        <v>24</v>
      </c>
      <c r="F34" s="385" t="s">
        <v>1904</v>
      </c>
      <c r="G34" s="385">
        <v>2015</v>
      </c>
      <c r="H34" s="385"/>
      <c r="I34" s="534" t="s">
        <v>337</v>
      </c>
      <c r="K34" s="755" t="s">
        <v>32</v>
      </c>
      <c r="L34" s="755" t="s">
        <v>32</v>
      </c>
      <c r="M34" s="283" t="s">
        <v>32</v>
      </c>
      <c r="N34" s="768">
        <v>0.24558630371093751</v>
      </c>
      <c r="O34" s="769">
        <v>0.47262271118164062</v>
      </c>
      <c r="P34" s="770">
        <v>0.92446689428548834</v>
      </c>
      <c r="Q34" s="771">
        <v>0.22703640747070311</v>
      </c>
      <c r="R34" s="769">
        <v>0.13366537448416807</v>
      </c>
      <c r="S34" s="755">
        <v>2020</v>
      </c>
      <c r="T34" s="755" t="s">
        <v>291</v>
      </c>
      <c r="U34" s="755" t="s">
        <v>2162</v>
      </c>
    </row>
    <row r="35" spans="1:22" s="534" customFormat="1" x14ac:dyDescent="0.25">
      <c r="A35" s="534" t="str">
        <f t="shared" si="1"/>
        <v>Brazil-5</v>
      </c>
      <c r="B35" s="8" t="str">
        <f>HYPERLINK('High impact policies'!B63)</f>
        <v>5</v>
      </c>
      <c r="C35" s="385" t="s">
        <v>0</v>
      </c>
      <c r="D35" s="385" t="s">
        <v>2275</v>
      </c>
      <c r="E35" s="18">
        <v>1.82</v>
      </c>
      <c r="F35" s="385" t="s">
        <v>1413</v>
      </c>
      <c r="G35" s="385"/>
      <c r="H35" s="385">
        <v>2017</v>
      </c>
      <c r="I35" s="534" t="s">
        <v>337</v>
      </c>
      <c r="K35" s="755" t="s">
        <v>32</v>
      </c>
      <c r="L35" s="755" t="s">
        <v>32</v>
      </c>
      <c r="M35" s="283" t="s">
        <v>32</v>
      </c>
      <c r="N35" s="768">
        <v>3.3992760009765624</v>
      </c>
      <c r="O35" s="769">
        <v>2.33</v>
      </c>
      <c r="P35" s="770">
        <v>-0.31455992413366107</v>
      </c>
      <c r="Q35" s="771">
        <v>1.0692760009765623</v>
      </c>
      <c r="R35" s="769">
        <v>-0.62744090790202789</v>
      </c>
      <c r="S35" s="755">
        <v>2020</v>
      </c>
      <c r="T35" s="755" t="s">
        <v>291</v>
      </c>
      <c r="U35" s="755" t="s">
        <v>2165</v>
      </c>
    </row>
    <row r="36" spans="1:22" s="534" customFormat="1" x14ac:dyDescent="0.25">
      <c r="A36" s="534" t="str">
        <f t="shared" si="1"/>
        <v>Brazil-9</v>
      </c>
      <c r="B36" s="8" t="str">
        <f>HYPERLINK('High impact policies'!B70)</f>
        <v>9</v>
      </c>
      <c r="C36" s="385" t="s">
        <v>0</v>
      </c>
      <c r="D36" s="385" t="s">
        <v>1934</v>
      </c>
      <c r="E36" s="702">
        <v>12000000</v>
      </c>
      <c r="F36" s="385" t="s">
        <v>1907</v>
      </c>
      <c r="G36" s="385"/>
      <c r="H36" s="385">
        <v>2030</v>
      </c>
      <c r="I36" s="534" t="s">
        <v>337</v>
      </c>
      <c r="K36" s="755" t="s">
        <v>2163</v>
      </c>
      <c r="L36" s="755"/>
      <c r="N36" s="764"/>
      <c r="O36" s="765"/>
      <c r="P36" s="521"/>
      <c r="Q36" s="772"/>
      <c r="R36" s="765"/>
      <c r="S36" s="755"/>
      <c r="T36" s="755"/>
      <c r="U36" s="755"/>
    </row>
    <row r="37" spans="1:22" x14ac:dyDescent="0.25">
      <c r="A37" s="534" t="str">
        <f t="shared" si="1"/>
        <v>Brazil-8</v>
      </c>
      <c r="B37" s="8" t="str">
        <f>HYPERLINK('High impact policies'!B68)</f>
        <v>8</v>
      </c>
      <c r="C37" s="385" t="s">
        <v>0</v>
      </c>
      <c r="D37" s="385" t="s">
        <v>1941</v>
      </c>
      <c r="E37" s="712">
        <v>-0.5</v>
      </c>
      <c r="F37" s="385" t="s">
        <v>1904</v>
      </c>
      <c r="G37" s="385">
        <v>2010</v>
      </c>
      <c r="H37" s="385">
        <v>2020</v>
      </c>
      <c r="I37" s="534" t="s">
        <v>337</v>
      </c>
      <c r="K37" s="755" t="s">
        <v>2163</v>
      </c>
      <c r="L37" s="755"/>
      <c r="M37" s="534"/>
      <c r="N37" s="764"/>
      <c r="O37" s="765"/>
      <c r="P37" s="521"/>
      <c r="Q37" s="772"/>
      <c r="R37" s="765"/>
      <c r="S37" s="755"/>
      <c r="T37" s="755"/>
      <c r="U37" s="755"/>
    </row>
    <row r="38" spans="1:22" s="534" customFormat="1" x14ac:dyDescent="0.25">
      <c r="A38" s="534" t="str">
        <f t="shared" si="1"/>
        <v>Brazil-8</v>
      </c>
      <c r="B38" s="534" t="str">
        <f>$B$37</f>
        <v>8</v>
      </c>
      <c r="C38" s="706" t="s">
        <v>0</v>
      </c>
      <c r="D38" s="706" t="s">
        <v>1941</v>
      </c>
      <c r="E38" s="706">
        <v>250</v>
      </c>
      <c r="F38" s="706" t="s">
        <v>1908</v>
      </c>
      <c r="G38" s="706"/>
      <c r="H38" s="706">
        <v>2020</v>
      </c>
      <c r="I38" s="706" t="s">
        <v>1945</v>
      </c>
      <c r="K38" s="755" t="s">
        <v>2163</v>
      </c>
      <c r="L38" s="755"/>
      <c r="N38" s="764"/>
      <c r="O38" s="765"/>
      <c r="P38" s="521"/>
      <c r="Q38" s="772"/>
      <c r="R38" s="765"/>
      <c r="S38" s="755"/>
      <c r="T38" s="755"/>
      <c r="U38" s="755"/>
    </row>
    <row r="39" spans="1:22" s="18" customFormat="1" x14ac:dyDescent="0.25">
      <c r="A39" s="534" t="str">
        <f t="shared" si="1"/>
        <v>Brazil-10</v>
      </c>
      <c r="B39" s="8" t="str">
        <f>HYPERLINK('High impact policies'!B71)</f>
        <v>10</v>
      </c>
      <c r="C39" s="385" t="s">
        <v>0</v>
      </c>
      <c r="D39" s="385" t="s">
        <v>2114</v>
      </c>
      <c r="E39" s="385">
        <f>(-133 + -166)/2</f>
        <v>-149.5</v>
      </c>
      <c r="F39" s="385" t="s">
        <v>1917</v>
      </c>
      <c r="G39" s="385" t="s">
        <v>1943</v>
      </c>
      <c r="H39" s="385">
        <v>2020</v>
      </c>
      <c r="I39" s="385" t="s">
        <v>337</v>
      </c>
      <c r="J39" s="385"/>
      <c r="K39" s="385" t="s">
        <v>31</v>
      </c>
      <c r="M39" s="534"/>
      <c r="N39" s="764"/>
      <c r="O39" s="765"/>
      <c r="P39" s="521"/>
      <c r="Q39" s="772"/>
      <c r="R39" s="765"/>
    </row>
    <row r="40" spans="1:22" s="18" customFormat="1" x14ac:dyDescent="0.25">
      <c r="A40" s="534" t="str">
        <f t="shared" si="1"/>
        <v>Brazil-12a</v>
      </c>
      <c r="B40" s="8" t="str">
        <f>HYPERLINK('High impact policies'!B73)</f>
        <v>12a</v>
      </c>
      <c r="C40" s="738" t="s">
        <v>0</v>
      </c>
      <c r="D40" s="738" t="s">
        <v>1985</v>
      </c>
      <c r="E40" s="738">
        <v>45</v>
      </c>
      <c r="F40" s="738" t="s">
        <v>1904</v>
      </c>
      <c r="G40" s="738"/>
      <c r="H40" s="738">
        <v>2030</v>
      </c>
      <c r="I40" s="738" t="s">
        <v>784</v>
      </c>
      <c r="J40" s="738"/>
      <c r="K40" s="385" t="s">
        <v>31</v>
      </c>
      <c r="M40" s="534"/>
      <c r="N40" s="764"/>
      <c r="O40" s="765"/>
      <c r="P40" s="521"/>
      <c r="Q40" s="772"/>
      <c r="R40" s="765"/>
    </row>
    <row r="41" spans="1:22" s="534" customFormat="1" x14ac:dyDescent="0.25">
      <c r="A41" s="534" t="str">
        <f t="shared" si="1"/>
        <v>Canada-1</v>
      </c>
      <c r="B41" s="8" t="str">
        <f>HYPERLINK('High impact policies'!B87)</f>
        <v>1</v>
      </c>
      <c r="C41" s="385" t="s">
        <v>18</v>
      </c>
      <c r="D41" s="385" t="s">
        <v>1935</v>
      </c>
      <c r="E41" s="385">
        <v>420</v>
      </c>
      <c r="F41" s="385" t="s">
        <v>1936</v>
      </c>
      <c r="G41" s="385">
        <v>2015</v>
      </c>
      <c r="H41" s="385">
        <v>2030</v>
      </c>
      <c r="I41" s="534" t="s">
        <v>337</v>
      </c>
      <c r="K41" s="755" t="s">
        <v>31</v>
      </c>
      <c r="L41" s="755"/>
      <c r="N41" s="764"/>
      <c r="O41" s="765"/>
      <c r="P41" s="521"/>
      <c r="Q41" s="772"/>
      <c r="R41" s="765"/>
      <c r="S41" s="755"/>
      <c r="T41" s="755"/>
      <c r="U41" s="755"/>
      <c r="V41" s="755"/>
    </row>
    <row r="42" spans="1:22" s="534" customFormat="1" x14ac:dyDescent="0.25">
      <c r="A42" s="534" t="str">
        <f t="shared" si="1"/>
        <v>Canada-1</v>
      </c>
      <c r="B42" s="534" t="str">
        <f>B41</f>
        <v>1</v>
      </c>
      <c r="C42" s="706" t="s">
        <v>18</v>
      </c>
      <c r="D42" s="706" t="s">
        <v>1937</v>
      </c>
      <c r="E42" s="706">
        <v>-64</v>
      </c>
      <c r="F42" s="706" t="s">
        <v>1904</v>
      </c>
      <c r="G42" s="706">
        <v>2010</v>
      </c>
      <c r="H42" s="706">
        <v>2030</v>
      </c>
      <c r="I42" s="706" t="s">
        <v>1945</v>
      </c>
      <c r="K42" s="755" t="s">
        <v>31</v>
      </c>
      <c r="L42" s="755"/>
      <c r="N42" s="764"/>
      <c r="O42" s="765"/>
      <c r="P42" s="521"/>
      <c r="Q42" s="772"/>
      <c r="R42" s="765"/>
      <c r="S42" s="755"/>
      <c r="T42" s="755"/>
      <c r="U42" s="755"/>
      <c r="V42" s="755"/>
    </row>
    <row r="43" spans="1:22" s="534" customFormat="1" x14ac:dyDescent="0.25">
      <c r="A43" s="534" t="str">
        <f t="shared" si="1"/>
        <v>Canada-3a</v>
      </c>
      <c r="B43" s="8" t="str">
        <f>HYPERLINK('High impact policies'!B89)</f>
        <v>3a</v>
      </c>
      <c r="C43" s="385" t="s">
        <v>18</v>
      </c>
      <c r="D43" s="385" t="s">
        <v>1942</v>
      </c>
      <c r="E43" s="385">
        <v>-6.5</v>
      </c>
      <c r="F43" s="385" t="s">
        <v>1917</v>
      </c>
      <c r="G43" s="385" t="s">
        <v>1943</v>
      </c>
      <c r="H43" s="385">
        <v>2020</v>
      </c>
      <c r="I43" s="534" t="s">
        <v>337</v>
      </c>
      <c r="K43" s="755" t="s">
        <v>32</v>
      </c>
      <c r="L43" s="755" t="s">
        <v>32</v>
      </c>
      <c r="M43" s="534" t="s">
        <v>2161</v>
      </c>
      <c r="N43" s="764"/>
      <c r="O43" s="765"/>
      <c r="P43" s="521"/>
      <c r="Q43" s="772"/>
      <c r="R43" s="765"/>
      <c r="S43" s="755"/>
      <c r="T43" s="755"/>
      <c r="U43" s="755"/>
      <c r="V43" s="755"/>
    </row>
    <row r="44" spans="1:22" s="534" customFormat="1" x14ac:dyDescent="0.25">
      <c r="A44" s="534" t="str">
        <f t="shared" si="1"/>
        <v>Canada-3a</v>
      </c>
      <c r="B44" s="534" t="str">
        <f>$B$43</f>
        <v>3a</v>
      </c>
      <c r="C44" s="706" t="s">
        <v>18</v>
      </c>
      <c r="D44" s="706" t="s">
        <v>1942</v>
      </c>
      <c r="E44" s="706">
        <v>-4.5</v>
      </c>
      <c r="F44" s="706" t="s">
        <v>1904</v>
      </c>
      <c r="G44" s="706" t="s">
        <v>1943</v>
      </c>
      <c r="H44" s="706">
        <v>2020</v>
      </c>
      <c r="I44" s="706" t="s">
        <v>1945</v>
      </c>
      <c r="K44" s="755" t="s">
        <v>32</v>
      </c>
      <c r="L44" s="756" t="s">
        <v>32</v>
      </c>
      <c r="M44" s="534" t="s">
        <v>2161</v>
      </c>
      <c r="N44" s="764"/>
      <c r="O44" s="765"/>
      <c r="P44" s="521"/>
      <c r="Q44" s="772"/>
      <c r="R44" s="765"/>
      <c r="S44" s="755"/>
      <c r="T44" s="755"/>
      <c r="U44" s="755"/>
      <c r="V44" s="755"/>
    </row>
    <row r="45" spans="1:22" s="534" customFormat="1" x14ac:dyDescent="0.25">
      <c r="A45" s="534" t="str">
        <f t="shared" si="1"/>
        <v>Canada-6c</v>
      </c>
      <c r="B45" s="8" t="str">
        <f>HYPERLINK('High impact policies'!B95)</f>
        <v>6c</v>
      </c>
      <c r="C45" s="385" t="s">
        <v>18</v>
      </c>
      <c r="D45" s="385" t="s">
        <v>1931</v>
      </c>
      <c r="E45" s="385">
        <v>3.7</v>
      </c>
      <c r="F45" s="385" t="s">
        <v>1904</v>
      </c>
      <c r="G45" s="385">
        <v>2011</v>
      </c>
      <c r="H45" s="385"/>
      <c r="I45" s="534" t="s">
        <v>337</v>
      </c>
      <c r="K45" s="755" t="s">
        <v>32</v>
      </c>
      <c r="L45" s="755" t="s">
        <v>32</v>
      </c>
      <c r="M45" s="534" t="s">
        <v>2161</v>
      </c>
      <c r="N45" s="764">
        <v>4.0064479827880861E-2</v>
      </c>
      <c r="O45" s="765">
        <v>5.7477130889892578E-2</v>
      </c>
      <c r="P45" s="106">
        <v>0.43461567794758332</v>
      </c>
      <c r="Q45" s="772">
        <v>1.7412651062011716E-2</v>
      </c>
      <c r="R45" s="765">
        <v>1.0297004547037737E-2</v>
      </c>
      <c r="S45" s="755">
        <v>2020</v>
      </c>
      <c r="T45" s="755" t="s">
        <v>302</v>
      </c>
      <c r="U45" s="755" t="s">
        <v>2162</v>
      </c>
      <c r="V45" s="755"/>
    </row>
    <row r="46" spans="1:22" s="534" customFormat="1" x14ac:dyDescent="0.25">
      <c r="A46" s="534" t="str">
        <f t="shared" si="1"/>
        <v>Canada-6a</v>
      </c>
      <c r="B46" s="8" t="str">
        <f>HYPERLINK('High impact policies'!B93)</f>
        <v>6a</v>
      </c>
      <c r="C46" s="385" t="s">
        <v>18</v>
      </c>
      <c r="D46" s="385" t="s">
        <v>1933</v>
      </c>
      <c r="E46" s="385">
        <v>2</v>
      </c>
      <c r="F46" s="385" t="s">
        <v>1904</v>
      </c>
      <c r="G46" s="385">
        <v>2011</v>
      </c>
      <c r="H46" s="385"/>
      <c r="I46" s="534" t="s">
        <v>337</v>
      </c>
      <c r="K46" s="755" t="s">
        <v>32</v>
      </c>
      <c r="L46" s="755" t="s">
        <v>685</v>
      </c>
      <c r="M46" s="534" t="s">
        <v>685</v>
      </c>
      <c r="N46" s="764">
        <v>4.0064479827880861E-2</v>
      </c>
      <c r="O46" s="765">
        <v>5.7477130889892578E-2</v>
      </c>
      <c r="P46" s="106">
        <v>0.43461567794758332</v>
      </c>
      <c r="Q46" s="772">
        <v>1.7412651062011716E-2</v>
      </c>
      <c r="R46" s="765">
        <v>1.0297004547037737E-2</v>
      </c>
      <c r="S46" s="755">
        <v>2020</v>
      </c>
      <c r="T46" s="755" t="s">
        <v>302</v>
      </c>
      <c r="U46" s="755" t="s">
        <v>2162</v>
      </c>
      <c r="V46" s="755"/>
    </row>
    <row r="47" spans="1:22" s="534" customFormat="1" x14ac:dyDescent="0.25">
      <c r="A47" s="534" t="str">
        <f t="shared" si="1"/>
        <v>Canada-6b</v>
      </c>
      <c r="B47" s="8" t="str">
        <f>HYPERLINK('High impact policies'!B94)</f>
        <v>6b</v>
      </c>
      <c r="C47" s="385" t="s">
        <v>18</v>
      </c>
      <c r="D47" s="385" t="s">
        <v>1932</v>
      </c>
      <c r="E47" s="385">
        <v>5</v>
      </c>
      <c r="F47" s="385" t="s">
        <v>1904</v>
      </c>
      <c r="G47" s="385">
        <v>2011</v>
      </c>
      <c r="H47" s="385"/>
      <c r="I47" s="534" t="s">
        <v>337</v>
      </c>
      <c r="K47" s="755" t="s">
        <v>32</v>
      </c>
      <c r="L47" s="755" t="s">
        <v>685</v>
      </c>
      <c r="M47" s="534" t="s">
        <v>685</v>
      </c>
      <c r="N47" s="764">
        <v>4.0064479827880861E-2</v>
      </c>
      <c r="O47" s="765">
        <v>5.7477130889892578E-2</v>
      </c>
      <c r="P47" s="106">
        <v>0.43461567794758332</v>
      </c>
      <c r="Q47" s="772">
        <v>1.7412651062011716E-2</v>
      </c>
      <c r="R47" s="765">
        <v>1.0297004547037737E-2</v>
      </c>
      <c r="S47" s="755">
        <v>2020</v>
      </c>
      <c r="T47" s="755" t="s">
        <v>302</v>
      </c>
      <c r="U47" s="755" t="s">
        <v>2162</v>
      </c>
      <c r="V47" s="755"/>
    </row>
    <row r="48" spans="1:22" s="534" customFormat="1" x14ac:dyDescent="0.25">
      <c r="A48" s="534" t="str">
        <f t="shared" si="1"/>
        <v>Canada-2</v>
      </c>
      <c r="B48" s="8" t="str">
        <f>HYPERLINK('High impact policies'!B88)</f>
        <v>2</v>
      </c>
      <c r="C48" s="385" t="s">
        <v>18</v>
      </c>
      <c r="D48" s="385" t="s">
        <v>2273</v>
      </c>
      <c r="E48" s="385">
        <v>0.91</v>
      </c>
      <c r="F48" s="385" t="s">
        <v>1413</v>
      </c>
      <c r="G48" s="385"/>
      <c r="H48" s="385">
        <v>2025</v>
      </c>
      <c r="I48" s="385" t="s">
        <v>337</v>
      </c>
      <c r="J48" s="385"/>
      <c r="K48" s="755" t="s">
        <v>32</v>
      </c>
      <c r="L48" s="755" t="s">
        <v>32</v>
      </c>
      <c r="M48" s="23" t="s">
        <v>32</v>
      </c>
      <c r="N48" s="768">
        <v>1.67</v>
      </c>
      <c r="O48" s="769">
        <v>1.18</v>
      </c>
      <c r="P48" s="770">
        <v>-0.29341317365269459</v>
      </c>
      <c r="Q48" s="771">
        <v>0.49</v>
      </c>
      <c r="R48" s="769">
        <v>-0.2644636382486909</v>
      </c>
      <c r="S48" s="755">
        <v>2025</v>
      </c>
      <c r="T48" s="755" t="s">
        <v>302</v>
      </c>
      <c r="U48" s="755" t="s">
        <v>2170</v>
      </c>
      <c r="V48" s="755"/>
    </row>
    <row r="49" spans="1:22" s="534" customFormat="1" x14ac:dyDescent="0.25">
      <c r="A49" s="534" t="str">
        <f t="shared" si="1"/>
        <v>Canada-5</v>
      </c>
      <c r="B49" s="8" t="str">
        <f>HYPERLINK('High impact policies'!B99)</f>
        <v>5</v>
      </c>
      <c r="C49" s="385" t="s">
        <v>18</v>
      </c>
      <c r="D49" s="385" t="s">
        <v>2274</v>
      </c>
      <c r="E49" s="385">
        <v>1.38</v>
      </c>
      <c r="F49" s="385" t="s">
        <v>1459</v>
      </c>
      <c r="G49" s="385"/>
      <c r="H49" s="385">
        <v>2027</v>
      </c>
      <c r="I49" s="385" t="s">
        <v>337</v>
      </c>
      <c r="J49" s="385" t="s">
        <v>2143</v>
      </c>
      <c r="K49" s="755" t="s">
        <v>32</v>
      </c>
      <c r="L49" s="755" t="s">
        <v>32</v>
      </c>
      <c r="M49" s="282" t="s">
        <v>32</v>
      </c>
      <c r="N49" s="764">
        <v>0.47035840000000001</v>
      </c>
      <c r="O49" s="765">
        <v>0.46270240000000001</v>
      </c>
      <c r="P49" s="106">
        <v>-1.6276949662215018E-2</v>
      </c>
      <c r="Q49" s="772">
        <v>-7.6559999999999961E-3</v>
      </c>
      <c r="R49" s="765">
        <v>-3.7590676170876306E-3</v>
      </c>
      <c r="S49" s="755">
        <v>2030</v>
      </c>
      <c r="T49" s="755" t="s">
        <v>302</v>
      </c>
      <c r="U49" s="755" t="s">
        <v>2171</v>
      </c>
      <c r="V49" s="755"/>
    </row>
    <row r="50" spans="1:22" s="534" customFormat="1" x14ac:dyDescent="0.25">
      <c r="A50" s="534" t="str">
        <f t="shared" si="1"/>
        <v>Canada-11</v>
      </c>
      <c r="B50" s="8" t="str">
        <f>HYPERLINK('High impact policies'!B100)</f>
        <v>11</v>
      </c>
      <c r="C50" s="385" t="s">
        <v>18</v>
      </c>
      <c r="D50" s="385" t="s">
        <v>2276</v>
      </c>
      <c r="E50" s="23">
        <v>0.92</v>
      </c>
      <c r="F50" s="385" t="s">
        <v>1459</v>
      </c>
      <c r="G50" s="385"/>
      <c r="H50" s="385">
        <v>2027</v>
      </c>
      <c r="I50" s="385" t="s">
        <v>337</v>
      </c>
      <c r="J50" s="23"/>
      <c r="K50" s="755" t="s">
        <v>32</v>
      </c>
      <c r="L50" s="755" t="s">
        <v>32</v>
      </c>
      <c r="M50" s="282" t="s">
        <v>32</v>
      </c>
      <c r="N50" s="764">
        <v>0.47035840000000001</v>
      </c>
      <c r="O50" s="765">
        <v>0.46270240000000001</v>
      </c>
      <c r="P50" s="106">
        <v>-1.6276949662215018E-2</v>
      </c>
      <c r="Q50" s="772">
        <v>-7.6559999999999961E-3</v>
      </c>
      <c r="R50" s="765">
        <v>-3.7590676170876306E-3</v>
      </c>
      <c r="S50" s="755">
        <v>2030</v>
      </c>
      <c r="T50" s="755" t="s">
        <v>302</v>
      </c>
      <c r="U50" s="755" t="s">
        <v>2171</v>
      </c>
      <c r="V50" s="755"/>
    </row>
    <row r="51" spans="1:22" s="534" customFormat="1" x14ac:dyDescent="0.25">
      <c r="A51" s="534" t="str">
        <f t="shared" si="1"/>
        <v>China-9a</v>
      </c>
      <c r="B51" s="8" t="str">
        <f>HYPERLINK('High impact policies'!B137)</f>
        <v>9a</v>
      </c>
      <c r="C51" s="385" t="s">
        <v>11</v>
      </c>
      <c r="D51" s="385" t="s">
        <v>2277</v>
      </c>
      <c r="E51" s="385">
        <v>-18</v>
      </c>
      <c r="F51" s="385" t="s">
        <v>1904</v>
      </c>
      <c r="G51" s="385">
        <v>2015</v>
      </c>
      <c r="H51" s="385">
        <v>2020</v>
      </c>
      <c r="I51" s="385" t="s">
        <v>337</v>
      </c>
      <c r="J51" s="385"/>
      <c r="K51" s="755" t="s">
        <v>31</v>
      </c>
      <c r="L51" s="755"/>
      <c r="N51" s="764"/>
      <c r="O51" s="765"/>
      <c r="P51" s="521"/>
      <c r="Q51" s="772"/>
      <c r="R51" s="765"/>
      <c r="S51" s="755"/>
      <c r="T51" s="755"/>
      <c r="U51" s="755"/>
    </row>
    <row r="52" spans="1:22" s="534" customFormat="1" x14ac:dyDescent="0.25">
      <c r="A52" s="534" t="str">
        <f>C52&amp;"-"&amp;B58</f>
        <v>China-1b</v>
      </c>
      <c r="B52" s="8" t="str">
        <f>HYPERLINK('High impact policies'!B143)</f>
        <v>9d</v>
      </c>
      <c r="C52" s="385" t="s">
        <v>11</v>
      </c>
      <c r="D52" s="385" t="s">
        <v>2068</v>
      </c>
      <c r="E52" s="385">
        <v>-15</v>
      </c>
      <c r="F52" s="385" t="s">
        <v>1904</v>
      </c>
      <c r="G52" s="385">
        <v>2015</v>
      </c>
      <c r="H52" s="385">
        <v>2020</v>
      </c>
      <c r="I52" s="385" t="s">
        <v>337</v>
      </c>
      <c r="K52" s="755" t="s">
        <v>31</v>
      </c>
      <c r="L52" s="755"/>
      <c r="N52" s="764"/>
      <c r="O52" s="765"/>
      <c r="P52" s="521"/>
      <c r="Q52" s="772"/>
      <c r="R52" s="765"/>
      <c r="S52" s="755"/>
      <c r="T52" s="755"/>
      <c r="U52" s="755"/>
    </row>
    <row r="53" spans="1:22" s="534" customFormat="1" x14ac:dyDescent="0.25">
      <c r="A53" s="534" t="str">
        <f t="shared" si="1"/>
        <v>China-2g</v>
      </c>
      <c r="B53" s="8" t="str">
        <f>HYPERLINK('High impact policies'!B118)</f>
        <v>2g</v>
      </c>
      <c r="C53" s="385" t="s">
        <v>11</v>
      </c>
      <c r="D53" s="385" t="s">
        <v>1947</v>
      </c>
      <c r="E53" s="385">
        <v>165</v>
      </c>
      <c r="F53" s="385" t="s">
        <v>1948</v>
      </c>
      <c r="G53" s="385"/>
      <c r="H53" s="385">
        <v>2020</v>
      </c>
      <c r="I53" s="385" t="s">
        <v>337</v>
      </c>
      <c r="K53" s="755" t="s">
        <v>31</v>
      </c>
      <c r="L53" s="755"/>
      <c r="N53" s="764"/>
      <c r="O53" s="765"/>
      <c r="P53" s="521"/>
      <c r="Q53" s="772"/>
      <c r="R53" s="765"/>
      <c r="S53" s="755"/>
      <c r="T53" s="755"/>
      <c r="U53" s="755"/>
    </row>
    <row r="54" spans="1:22" s="534" customFormat="1" x14ac:dyDescent="0.25">
      <c r="A54" s="534" t="str">
        <f t="shared" si="1"/>
        <v>China-9b</v>
      </c>
      <c r="B54" s="8" t="str">
        <f>HYPERLINK('High impact policies'!B141)</f>
        <v>9b</v>
      </c>
      <c r="C54" s="706" t="s">
        <v>11</v>
      </c>
      <c r="D54" s="706" t="s">
        <v>1947</v>
      </c>
      <c r="E54" s="706">
        <v>5</v>
      </c>
      <c r="F54" s="706" t="s">
        <v>1949</v>
      </c>
      <c r="G54" s="706"/>
      <c r="H54" s="706">
        <v>2020</v>
      </c>
      <c r="I54" s="706" t="s">
        <v>1945</v>
      </c>
      <c r="K54" s="755" t="s">
        <v>31</v>
      </c>
      <c r="L54" s="755"/>
      <c r="N54" s="764"/>
      <c r="O54" s="765"/>
      <c r="P54" s="521"/>
      <c r="Q54" s="772"/>
      <c r="R54" s="765"/>
      <c r="S54" s="755"/>
      <c r="T54" s="755"/>
      <c r="U54" s="755"/>
    </row>
    <row r="55" spans="1:22" s="534" customFormat="1" x14ac:dyDescent="0.25">
      <c r="A55" s="534" t="str">
        <f t="shared" si="1"/>
        <v>China-2g</v>
      </c>
      <c r="B55" s="8" t="str">
        <f>HYPERLINK('High impact policies'!B118)</f>
        <v>2g</v>
      </c>
      <c r="C55" s="385" t="s">
        <v>11</v>
      </c>
      <c r="D55" s="385" t="s">
        <v>1951</v>
      </c>
      <c r="E55" s="385">
        <v>86.5</v>
      </c>
      <c r="F55" s="385" t="s">
        <v>1950</v>
      </c>
      <c r="G55" s="385"/>
      <c r="H55" s="385">
        <v>2020</v>
      </c>
      <c r="I55" s="385" t="s">
        <v>337</v>
      </c>
      <c r="K55" s="755" t="s">
        <v>31</v>
      </c>
      <c r="L55" s="755"/>
      <c r="N55" s="764"/>
      <c r="O55" s="765"/>
      <c r="P55" s="521"/>
      <c r="Q55" s="772"/>
      <c r="R55" s="765"/>
      <c r="S55" s="755"/>
      <c r="T55" s="755"/>
      <c r="U55" s="755"/>
    </row>
    <row r="56" spans="1:22" s="534" customFormat="1" x14ac:dyDescent="0.25">
      <c r="A56" s="534" t="str">
        <f t="shared" si="1"/>
        <v>China-2g</v>
      </c>
      <c r="B56" t="str">
        <f>$B$55</f>
        <v>2g</v>
      </c>
      <c r="C56" s="706" t="s">
        <v>11</v>
      </c>
      <c r="D56" s="706" t="s">
        <v>1953</v>
      </c>
      <c r="E56" s="706">
        <v>4.2</v>
      </c>
      <c r="F56" s="706" t="s">
        <v>1952</v>
      </c>
      <c r="G56" s="706"/>
      <c r="H56" s="706">
        <v>2020</v>
      </c>
      <c r="I56" s="706" t="s">
        <v>1945</v>
      </c>
      <c r="K56" s="755" t="s">
        <v>31</v>
      </c>
      <c r="L56" s="755"/>
      <c r="N56" s="764"/>
      <c r="O56" s="765"/>
      <c r="P56" s="521"/>
      <c r="Q56" s="772"/>
      <c r="R56" s="765"/>
      <c r="S56" s="755"/>
      <c r="T56" s="755"/>
      <c r="U56" s="755"/>
    </row>
    <row r="57" spans="1:22" s="534" customFormat="1" x14ac:dyDescent="0.25">
      <c r="A57" s="534" t="str">
        <f t="shared" si="1"/>
        <v>China-2j</v>
      </c>
      <c r="B57" s="8" t="str">
        <f>HYPERLINK('High impact policies'!B119)</f>
        <v>2j</v>
      </c>
      <c r="C57" s="385" t="s">
        <v>11</v>
      </c>
      <c r="D57" s="385" t="s">
        <v>1954</v>
      </c>
      <c r="E57" s="385">
        <v>10</v>
      </c>
      <c r="F57" s="385" t="s">
        <v>1904</v>
      </c>
      <c r="G57" s="385"/>
      <c r="H57" s="385">
        <v>2020</v>
      </c>
      <c r="I57" s="385" t="s">
        <v>337</v>
      </c>
      <c r="J57" s="385" t="s">
        <v>2494</v>
      </c>
      <c r="K57" s="755" t="s">
        <v>31</v>
      </c>
      <c r="L57" s="755"/>
      <c r="N57" s="764"/>
      <c r="O57" s="765"/>
      <c r="P57" s="521"/>
      <c r="Q57" s="772"/>
      <c r="R57" s="765"/>
      <c r="S57" s="755"/>
      <c r="T57" s="755"/>
      <c r="U57" s="755"/>
    </row>
    <row r="58" spans="1:22" s="534" customFormat="1" x14ac:dyDescent="0.25">
      <c r="A58" s="534" t="str">
        <f t="shared" si="1"/>
        <v>China-1b</v>
      </c>
      <c r="B58" s="8" t="str">
        <f>HYPERLINK('High impact policies'!B109)</f>
        <v>1b</v>
      </c>
      <c r="C58" s="385" t="s">
        <v>11</v>
      </c>
      <c r="D58" s="385" t="s">
        <v>1955</v>
      </c>
      <c r="E58" s="385">
        <v>15</v>
      </c>
      <c r="F58" s="385" t="s">
        <v>1904</v>
      </c>
      <c r="G58" s="385"/>
      <c r="H58" s="385">
        <v>2020</v>
      </c>
      <c r="I58" s="385" t="s">
        <v>337</v>
      </c>
      <c r="K58" s="755" t="s">
        <v>31</v>
      </c>
      <c r="L58" s="755"/>
      <c r="N58" s="764"/>
      <c r="O58" s="765"/>
      <c r="P58" s="521"/>
      <c r="Q58" s="772"/>
      <c r="R58" s="765"/>
      <c r="S58" s="755"/>
      <c r="T58" s="755"/>
      <c r="U58" s="755"/>
    </row>
    <row r="59" spans="1:22" s="534" customFormat="1" x14ac:dyDescent="0.25">
      <c r="A59" s="534" t="str">
        <f t="shared" si="1"/>
        <v>China-1f</v>
      </c>
      <c r="B59" s="8" t="str">
        <f>HYPERLINK('High impact policies'!B136)</f>
        <v>1f</v>
      </c>
      <c r="C59" s="385" t="s">
        <v>11</v>
      </c>
      <c r="D59" s="385" t="s">
        <v>1956</v>
      </c>
      <c r="E59" s="385">
        <v>889</v>
      </c>
      <c r="F59" s="385" t="s">
        <v>1957</v>
      </c>
      <c r="G59" s="385"/>
      <c r="H59" s="385">
        <v>2020</v>
      </c>
      <c r="I59" s="385" t="s">
        <v>337</v>
      </c>
      <c r="K59" s="755" t="s">
        <v>31</v>
      </c>
      <c r="L59" s="755"/>
      <c r="N59" s="764"/>
      <c r="O59" s="765"/>
      <c r="P59" s="521"/>
      <c r="Q59" s="772"/>
      <c r="R59" s="765"/>
      <c r="S59" s="755"/>
      <c r="T59" s="755"/>
      <c r="U59" s="755"/>
    </row>
    <row r="60" spans="1:22" s="534" customFormat="1" x14ac:dyDescent="0.25">
      <c r="A60" s="534" t="str">
        <f t="shared" si="1"/>
        <v>China-2a</v>
      </c>
      <c r="B60" s="8" t="str">
        <f>HYPERLINK('High impact policies'!B113)</f>
        <v>2a</v>
      </c>
      <c r="C60" s="385" t="s">
        <v>11</v>
      </c>
      <c r="D60" s="385" t="s">
        <v>1958</v>
      </c>
      <c r="E60" s="385">
        <v>58</v>
      </c>
      <c r="F60" s="385" t="s">
        <v>1883</v>
      </c>
      <c r="G60" s="385"/>
      <c r="H60" s="385">
        <v>2020</v>
      </c>
      <c r="I60" s="385" t="s">
        <v>337</v>
      </c>
      <c r="K60" s="755" t="s">
        <v>32</v>
      </c>
      <c r="L60" s="755" t="s">
        <v>32</v>
      </c>
      <c r="M60" s="534" t="s">
        <v>32</v>
      </c>
      <c r="N60" s="768">
        <v>0.82803897600000009</v>
      </c>
      <c r="O60" s="769">
        <v>1.2911050240000002</v>
      </c>
      <c r="P60" s="779">
        <v>0.55923218764040405</v>
      </c>
      <c r="Q60" s="771">
        <v>0.46306604800000006</v>
      </c>
      <c r="R60" s="769">
        <v>3.3398640602639432E-2</v>
      </c>
      <c r="S60" s="756">
        <v>2020</v>
      </c>
      <c r="T60" s="755" t="s">
        <v>221</v>
      </c>
      <c r="U60" s="755" t="s">
        <v>2172</v>
      </c>
    </row>
    <row r="61" spans="1:22" s="534" customFormat="1" x14ac:dyDescent="0.25">
      <c r="A61" s="534" t="str">
        <f t="shared" si="1"/>
        <v>China-2b</v>
      </c>
      <c r="B61" s="8" t="str">
        <f>HYPERLINK('High impact policies'!B114)</f>
        <v>2b</v>
      </c>
      <c r="C61" s="385" t="s">
        <v>11</v>
      </c>
      <c r="D61" s="385" t="s">
        <v>1925</v>
      </c>
      <c r="E61" s="385">
        <v>350</v>
      </c>
      <c r="F61" s="385" t="s">
        <v>1883</v>
      </c>
      <c r="G61" s="385"/>
      <c r="H61" s="385">
        <v>2020</v>
      </c>
      <c r="I61" s="385" t="s">
        <v>337</v>
      </c>
      <c r="K61" s="755" t="s">
        <v>32</v>
      </c>
      <c r="L61" s="755" t="s">
        <v>32</v>
      </c>
      <c r="M61" s="534" t="s">
        <v>32</v>
      </c>
      <c r="N61" s="774">
        <v>4.4136908799999999</v>
      </c>
      <c r="O61" s="775">
        <v>4.107471104</v>
      </c>
      <c r="P61" s="780">
        <v>-6.9379524829795022E-2</v>
      </c>
      <c r="Q61" s="777">
        <v>-0.30621977599999983</v>
      </c>
      <c r="R61" s="775">
        <v>-2.2086102594256155E-2</v>
      </c>
      <c r="S61" s="756">
        <v>2020</v>
      </c>
      <c r="T61" s="755" t="s">
        <v>221</v>
      </c>
      <c r="U61" s="755" t="s">
        <v>2166</v>
      </c>
    </row>
    <row r="62" spans="1:22" s="534" customFormat="1" x14ac:dyDescent="0.25">
      <c r="A62" s="534" t="str">
        <f t="shared" si="1"/>
        <v>China-2c</v>
      </c>
      <c r="B62" s="8" t="str">
        <f>HYPERLINK('High impact policies'!B115)</f>
        <v>2c</v>
      </c>
      <c r="C62" s="385" t="s">
        <v>11</v>
      </c>
      <c r="D62" s="385" t="s">
        <v>1929</v>
      </c>
      <c r="E62" s="385">
        <v>200</v>
      </c>
      <c r="F62" s="385" t="s">
        <v>1883</v>
      </c>
      <c r="G62" s="385"/>
      <c r="H62" s="385">
        <v>2020</v>
      </c>
      <c r="I62" s="385" t="s">
        <v>337</v>
      </c>
      <c r="K62" s="755" t="s">
        <v>32</v>
      </c>
      <c r="L62" s="755" t="s">
        <v>32</v>
      </c>
      <c r="M62" s="534" t="s">
        <v>32</v>
      </c>
      <c r="N62" s="768">
        <v>1.012397346</v>
      </c>
      <c r="O62" s="769">
        <v>1.5769852800000002</v>
      </c>
      <c r="P62" s="779">
        <v>0.55767425332622333</v>
      </c>
      <c r="Q62" s="771">
        <v>0.56458793400000018</v>
      </c>
      <c r="R62" s="769">
        <v>4.0720907044890314E-2</v>
      </c>
      <c r="S62" s="756">
        <v>2020</v>
      </c>
      <c r="T62" s="755" t="s">
        <v>221</v>
      </c>
      <c r="U62" s="755" t="s">
        <v>2168</v>
      </c>
    </row>
    <row r="63" spans="1:22" s="534" customFormat="1" x14ac:dyDescent="0.25">
      <c r="A63" s="534" t="str">
        <f t="shared" si="1"/>
        <v>China-2d</v>
      </c>
      <c r="B63" s="8" t="str">
        <f>HYPERLINK('High impact policies'!B116)</f>
        <v>2d</v>
      </c>
      <c r="C63" s="385" t="s">
        <v>11</v>
      </c>
      <c r="D63" s="385" t="s">
        <v>1924</v>
      </c>
      <c r="E63" s="385">
        <v>30</v>
      </c>
      <c r="F63" s="385" t="s">
        <v>1883</v>
      </c>
      <c r="G63" s="385"/>
      <c r="H63" s="385">
        <v>2020</v>
      </c>
      <c r="I63" s="385" t="s">
        <v>337</v>
      </c>
      <c r="K63" s="755" t="s">
        <v>32</v>
      </c>
      <c r="L63" s="755" t="s">
        <v>32</v>
      </c>
      <c r="M63" s="534" t="s">
        <v>32</v>
      </c>
      <c r="N63" s="768">
        <v>4.90886346875E-2</v>
      </c>
      <c r="O63" s="769">
        <v>0.68008892662500009</v>
      </c>
      <c r="P63" s="779">
        <v>12.854305196191959</v>
      </c>
      <c r="Q63" s="771">
        <v>0.63100029193750007</v>
      </c>
      <c r="R63" s="769">
        <v>4.5510898632285655E-2</v>
      </c>
      <c r="S63" s="756">
        <v>2020</v>
      </c>
      <c r="T63" s="755" t="s">
        <v>221</v>
      </c>
      <c r="U63" s="755" t="s">
        <v>2160</v>
      </c>
    </row>
    <row r="64" spans="1:22" s="534" customFormat="1" x14ac:dyDescent="0.25">
      <c r="A64" s="534" t="str">
        <f t="shared" si="1"/>
        <v>China-2e</v>
      </c>
      <c r="B64" s="8" t="str">
        <f>HYPERLINK('High impact policies'!B117)</f>
        <v>2e</v>
      </c>
      <c r="C64" s="385" t="s">
        <v>11</v>
      </c>
      <c r="D64" s="385" t="s">
        <v>1959</v>
      </c>
      <c r="E64" s="385">
        <v>100</v>
      </c>
      <c r="F64" s="385" t="s">
        <v>1883</v>
      </c>
      <c r="G64" s="385"/>
      <c r="H64" s="385">
        <v>2020</v>
      </c>
      <c r="I64" s="385" t="s">
        <v>337</v>
      </c>
      <c r="K64" s="755" t="s">
        <v>32</v>
      </c>
      <c r="L64" s="755" t="s">
        <v>32</v>
      </c>
      <c r="M64" s="534" t="s">
        <v>32</v>
      </c>
      <c r="N64" s="768">
        <v>0.30260921600000001</v>
      </c>
      <c r="O64" s="769">
        <v>0.58246112000000005</v>
      </c>
      <c r="P64" s="770">
        <v>0.92479636839612989</v>
      </c>
      <c r="Q64" s="771">
        <v>0.27985190400000004</v>
      </c>
      <c r="R64" s="769">
        <v>2.0184319718599523E-2</v>
      </c>
      <c r="S64" s="756">
        <v>2020</v>
      </c>
      <c r="T64" s="755" t="s">
        <v>221</v>
      </c>
      <c r="U64" s="755" t="s">
        <v>2173</v>
      </c>
    </row>
    <row r="65" spans="1:21" s="534" customFormat="1" x14ac:dyDescent="0.25">
      <c r="A65" s="534" t="str">
        <f t="shared" si="1"/>
        <v>China-2</v>
      </c>
      <c r="B65" s="8" t="str">
        <f>HYPERLINK('High impact policies'!B112)</f>
        <v>2</v>
      </c>
      <c r="C65" s="706" t="s">
        <v>11</v>
      </c>
      <c r="D65" s="706" t="s">
        <v>1960</v>
      </c>
      <c r="E65" s="706">
        <v>26.5</v>
      </c>
      <c r="F65" s="706" t="s">
        <v>1904</v>
      </c>
      <c r="G65" s="706"/>
      <c r="H65" s="706">
        <v>2020</v>
      </c>
      <c r="I65" s="706" t="s">
        <v>1945</v>
      </c>
      <c r="K65" s="755" t="s">
        <v>31</v>
      </c>
      <c r="L65" s="755"/>
      <c r="M65" s="283"/>
      <c r="N65" s="764"/>
      <c r="O65" s="765"/>
      <c r="P65" s="521"/>
      <c r="Q65" s="772"/>
      <c r="R65" s="765"/>
      <c r="S65" s="755"/>
      <c r="T65" s="755"/>
      <c r="U65" s="755"/>
    </row>
    <row r="66" spans="1:21" s="534" customFormat="1" x14ac:dyDescent="0.25">
      <c r="A66" s="534" t="str">
        <f t="shared" si="1"/>
        <v>China-3a</v>
      </c>
      <c r="B66" s="8" t="str">
        <f>HYPERLINK('High impact policies'!B121)</f>
        <v>3a</v>
      </c>
      <c r="C66" s="703" t="s">
        <v>11</v>
      </c>
      <c r="D66" s="703" t="s">
        <v>1962</v>
      </c>
      <c r="E66" s="703" t="s">
        <v>1961</v>
      </c>
      <c r="F66" s="703" t="s">
        <v>1963</v>
      </c>
      <c r="G66" s="703">
        <v>2009</v>
      </c>
      <c r="H66" s="703"/>
      <c r="I66" s="703" t="s">
        <v>1946</v>
      </c>
      <c r="K66" s="755" t="s">
        <v>32</v>
      </c>
      <c r="L66" s="755" t="s">
        <v>685</v>
      </c>
      <c r="M66" s="283" t="s">
        <v>685</v>
      </c>
      <c r="N66" s="764">
        <v>0.99087417600000005</v>
      </c>
      <c r="O66" s="765">
        <v>1.249950976</v>
      </c>
      <c r="P66" s="106">
        <v>0.2614628640801312</v>
      </c>
      <c r="Q66" s="772">
        <v>0.2590768</v>
      </c>
      <c r="R66" s="765">
        <v>1.8685915257777425E-2</v>
      </c>
      <c r="S66" s="756">
        <v>2020</v>
      </c>
      <c r="T66" s="755" t="s">
        <v>221</v>
      </c>
      <c r="U66" s="755" t="s">
        <v>2174</v>
      </c>
    </row>
    <row r="67" spans="1:21" s="534" customFormat="1" x14ac:dyDescent="0.25">
      <c r="A67" s="534" t="str">
        <f t="shared" si="1"/>
        <v>China-3b</v>
      </c>
      <c r="B67" s="8" t="str">
        <f>HYPERLINK('High impact policies'!B122)</f>
        <v>3b</v>
      </c>
      <c r="C67" s="703" t="s">
        <v>11</v>
      </c>
      <c r="D67" s="703" t="s">
        <v>1965</v>
      </c>
      <c r="E67" s="703" t="s">
        <v>1964</v>
      </c>
      <c r="F67" s="703" t="s">
        <v>1963</v>
      </c>
      <c r="G67" s="703">
        <v>2016</v>
      </c>
      <c r="H67" s="703"/>
      <c r="I67" s="703" t="s">
        <v>1946</v>
      </c>
      <c r="K67" s="755" t="s">
        <v>32</v>
      </c>
      <c r="L67" s="755" t="s">
        <v>685</v>
      </c>
      <c r="M67" s="283" t="s">
        <v>685</v>
      </c>
      <c r="N67" s="764">
        <v>2.1523170000000001E-2</v>
      </c>
      <c r="O67" s="765">
        <v>0.327034304</v>
      </c>
      <c r="P67" s="106">
        <v>14.194523111604843</v>
      </c>
      <c r="Q67" s="772">
        <v>0.30551113400000002</v>
      </c>
      <c r="R67" s="765">
        <v>2.2034991787112875E-2</v>
      </c>
      <c r="S67" s="756">
        <v>2020</v>
      </c>
      <c r="T67" s="755" t="s">
        <v>221</v>
      </c>
      <c r="U67" s="755" t="s">
        <v>2175</v>
      </c>
    </row>
    <row r="68" spans="1:21" s="534" customFormat="1" x14ac:dyDescent="0.25">
      <c r="A68" s="534" t="str">
        <f t="shared" si="1"/>
        <v>China-3c</v>
      </c>
      <c r="B68" s="8" t="str">
        <f>HYPERLINK('High impact policies'!B123)</f>
        <v>3c</v>
      </c>
      <c r="C68" s="703" t="s">
        <v>11</v>
      </c>
      <c r="D68" s="703" t="s">
        <v>1967</v>
      </c>
      <c r="E68" s="703" t="s">
        <v>1966</v>
      </c>
      <c r="F68" s="703" t="s">
        <v>1963</v>
      </c>
      <c r="G68" s="703">
        <v>2013</v>
      </c>
      <c r="H68" s="703"/>
      <c r="I68" s="703" t="s">
        <v>1946</v>
      </c>
      <c r="K68" s="755" t="s">
        <v>32</v>
      </c>
      <c r="L68" s="755" t="s">
        <v>685</v>
      </c>
      <c r="M68" s="283" t="s">
        <v>685</v>
      </c>
      <c r="N68" s="764">
        <v>0.30260921600000001</v>
      </c>
      <c r="O68" s="765">
        <v>0.58246112000000005</v>
      </c>
      <c r="P68" s="106">
        <v>0.92479636839612989</v>
      </c>
      <c r="Q68" s="772">
        <v>0.27985190400000004</v>
      </c>
      <c r="R68" s="765">
        <v>2.0184319718599523E-2</v>
      </c>
      <c r="S68" s="756">
        <v>2020</v>
      </c>
      <c r="T68" s="755" t="s">
        <v>221</v>
      </c>
      <c r="U68" s="755" t="s">
        <v>2173</v>
      </c>
    </row>
    <row r="69" spans="1:21" s="534" customFormat="1" x14ac:dyDescent="0.25">
      <c r="A69" s="534" t="str">
        <f t="shared" si="1"/>
        <v>China-8a</v>
      </c>
      <c r="B69" s="8" t="str">
        <f>HYPERLINK('High impact policies'!B133)</f>
        <v>8a</v>
      </c>
      <c r="C69" s="385" t="s">
        <v>11</v>
      </c>
      <c r="D69" s="385" t="s">
        <v>1968</v>
      </c>
      <c r="E69" s="385">
        <v>-22</v>
      </c>
      <c r="F69" s="385" t="s">
        <v>1904</v>
      </c>
      <c r="G69" s="385">
        <v>2015</v>
      </c>
      <c r="H69" s="385">
        <v>2020</v>
      </c>
      <c r="I69" s="385" t="s">
        <v>337</v>
      </c>
      <c r="K69" s="755" t="s">
        <v>31</v>
      </c>
      <c r="L69" s="755"/>
      <c r="N69" s="764"/>
      <c r="O69" s="765"/>
      <c r="P69" s="521"/>
      <c r="Q69" s="772"/>
      <c r="R69" s="765"/>
      <c r="S69" s="755"/>
      <c r="T69" s="755"/>
      <c r="U69" s="755"/>
    </row>
    <row r="70" spans="1:21" s="534" customFormat="1" x14ac:dyDescent="0.25">
      <c r="A70" s="534" t="str">
        <f t="shared" si="1"/>
        <v>China-8b</v>
      </c>
      <c r="B70" s="8" t="str">
        <f>HYPERLINK('High impact policies'!B134)</f>
        <v>8b</v>
      </c>
      <c r="C70" s="385" t="s">
        <v>11</v>
      </c>
      <c r="D70" s="385" t="s">
        <v>1968</v>
      </c>
      <c r="E70" s="385">
        <v>-40</v>
      </c>
      <c r="F70" s="385" t="s">
        <v>1904</v>
      </c>
      <c r="G70" s="385">
        <v>2015</v>
      </c>
      <c r="H70" s="385">
        <v>2025</v>
      </c>
      <c r="I70" s="385" t="s">
        <v>337</v>
      </c>
      <c r="K70" s="755" t="s">
        <v>31</v>
      </c>
      <c r="L70" s="755"/>
      <c r="N70" s="764"/>
      <c r="O70" s="765"/>
      <c r="P70" s="521"/>
      <c r="Q70" s="772"/>
      <c r="R70" s="765"/>
      <c r="S70" s="755"/>
      <c r="T70" s="755"/>
      <c r="U70" s="755"/>
    </row>
    <row r="71" spans="1:21" s="534" customFormat="1" x14ac:dyDescent="0.25">
      <c r="A71" s="534" t="str">
        <f t="shared" si="1"/>
        <v>China-13a</v>
      </c>
      <c r="B71" s="8" t="str">
        <f>HYPERLINK('High impact policies'!B144)</f>
        <v>13a</v>
      </c>
      <c r="C71" s="385" t="s">
        <v>11</v>
      </c>
      <c r="D71" s="385" t="s">
        <v>1969</v>
      </c>
      <c r="E71" s="385">
        <v>-18</v>
      </c>
      <c r="F71" s="385" t="s">
        <v>1904</v>
      </c>
      <c r="G71" s="385">
        <v>2015</v>
      </c>
      <c r="H71" s="385">
        <v>2020</v>
      </c>
      <c r="I71" s="385" t="s">
        <v>337</v>
      </c>
      <c r="K71" s="755" t="s">
        <v>31</v>
      </c>
      <c r="L71" s="755"/>
      <c r="N71" s="764"/>
      <c r="O71" s="765"/>
      <c r="P71" s="521"/>
      <c r="Q71" s="772"/>
      <c r="R71" s="765"/>
      <c r="S71" s="755"/>
      <c r="T71" s="755"/>
      <c r="U71" s="755"/>
    </row>
    <row r="72" spans="1:21" s="534" customFormat="1" x14ac:dyDescent="0.25">
      <c r="A72" s="534" t="str">
        <f t="shared" si="1"/>
        <v>China-10</v>
      </c>
      <c r="B72" s="8" t="str">
        <f>HYPERLINK('High impact policies'!B142)</f>
        <v>10</v>
      </c>
      <c r="C72" s="385" t="s">
        <v>11</v>
      </c>
      <c r="D72" s="385" t="s">
        <v>1970</v>
      </c>
      <c r="E72" s="385">
        <v>30</v>
      </c>
      <c r="F72" s="385" t="s">
        <v>1904</v>
      </c>
      <c r="G72" s="385"/>
      <c r="H72" s="385">
        <v>2020</v>
      </c>
      <c r="I72" s="385" t="s">
        <v>337</v>
      </c>
      <c r="J72" s="534" t="s">
        <v>1971</v>
      </c>
      <c r="K72" s="756" t="s">
        <v>32</v>
      </c>
      <c r="L72" s="756" t="s">
        <v>32</v>
      </c>
      <c r="N72" s="764">
        <v>25.994388671875001</v>
      </c>
      <c r="O72" s="765">
        <v>25.92089013671875</v>
      </c>
      <c r="P72" s="106">
        <v>-2.8274769637407745E-3</v>
      </c>
      <c r="Q72" s="772">
        <v>-7.3498535156250711E-2</v>
      </c>
      <c r="R72" s="765">
        <v>-5.301082148229698E-3</v>
      </c>
      <c r="S72" s="756">
        <v>2020</v>
      </c>
      <c r="T72" s="755" t="s">
        <v>221</v>
      </c>
      <c r="U72" s="755" t="s">
        <v>2176</v>
      </c>
    </row>
    <row r="73" spans="1:21" s="534" customFormat="1" x14ac:dyDescent="0.25">
      <c r="A73" s="534" t="str">
        <f t="shared" si="1"/>
        <v>China-12a</v>
      </c>
      <c r="B73" s="8" t="str">
        <f>HYPERLINK('High impact policies'!B111)</f>
        <v>12a</v>
      </c>
      <c r="C73" s="385" t="s">
        <v>11</v>
      </c>
      <c r="D73" s="385" t="s">
        <v>1931</v>
      </c>
      <c r="E73" s="385">
        <v>1.1000000000000001</v>
      </c>
      <c r="F73" s="385" t="s">
        <v>1904</v>
      </c>
      <c r="G73" s="385"/>
      <c r="H73" s="385">
        <v>2020</v>
      </c>
      <c r="I73" s="385" t="s">
        <v>337</v>
      </c>
      <c r="K73" s="755" t="s">
        <v>32</v>
      </c>
      <c r="L73" s="756" t="s">
        <v>32</v>
      </c>
      <c r="M73" s="385" t="s">
        <v>2158</v>
      </c>
      <c r="N73" s="774">
        <v>0.23084809875488282</v>
      </c>
      <c r="O73" s="775">
        <v>0.36180648803710941</v>
      </c>
      <c r="P73" s="776">
        <v>0.5672924749589543</v>
      </c>
      <c r="Q73" s="777">
        <v>0.13095838928222658</v>
      </c>
      <c r="R73" s="775">
        <v>9.4453743616669406E-3</v>
      </c>
      <c r="S73" s="756">
        <v>2020</v>
      </c>
      <c r="T73" s="755" t="s">
        <v>221</v>
      </c>
      <c r="U73" s="755" t="s">
        <v>2162</v>
      </c>
    </row>
    <row r="74" spans="1:21" s="534" customFormat="1" x14ac:dyDescent="0.25">
      <c r="A74" s="534" t="str">
        <f t="shared" si="1"/>
        <v>China-12a</v>
      </c>
      <c r="B74" s="534" t="str">
        <f>$B$73</f>
        <v>12a</v>
      </c>
      <c r="C74" s="706" t="s">
        <v>11</v>
      </c>
      <c r="D74" s="706" t="s">
        <v>1931</v>
      </c>
      <c r="E74" s="707">
        <v>100000000</v>
      </c>
      <c r="F74" s="706" t="s">
        <v>1972</v>
      </c>
      <c r="G74" s="706"/>
      <c r="H74" s="706">
        <v>2020</v>
      </c>
      <c r="I74" s="706" t="s">
        <v>1945</v>
      </c>
      <c r="K74" s="755" t="s">
        <v>32</v>
      </c>
      <c r="L74" s="756" t="s">
        <v>32</v>
      </c>
      <c r="M74" s="534" t="s">
        <v>493</v>
      </c>
      <c r="N74" s="781">
        <v>0.23084809875488282</v>
      </c>
      <c r="O74" s="782">
        <v>0.36180648803710941</v>
      </c>
      <c r="P74" s="783">
        <v>0.5672924749589543</v>
      </c>
      <c r="Q74" s="778">
        <v>0.13095838928222658</v>
      </c>
      <c r="R74" s="782">
        <v>9.4453743616669406E-3</v>
      </c>
      <c r="S74" s="756">
        <v>2020</v>
      </c>
      <c r="T74" s="755" t="s">
        <v>221</v>
      </c>
      <c r="U74" s="755" t="s">
        <v>2162</v>
      </c>
    </row>
    <row r="75" spans="1:21" s="534" customFormat="1" x14ac:dyDescent="0.25">
      <c r="A75" s="534" t="str">
        <f t="shared" si="1"/>
        <v>China-4a</v>
      </c>
      <c r="B75" s="8" t="str">
        <f>HYPERLINK('High impact policies'!B125)</f>
        <v>4a</v>
      </c>
      <c r="C75" s="385" t="s">
        <v>11</v>
      </c>
      <c r="D75" s="385" t="s">
        <v>1974</v>
      </c>
      <c r="E75" s="708">
        <v>5000000</v>
      </c>
      <c r="F75" s="385" t="s">
        <v>1973</v>
      </c>
      <c r="G75" s="385"/>
      <c r="H75" s="385">
        <v>2020</v>
      </c>
      <c r="I75" s="385" t="s">
        <v>337</v>
      </c>
      <c r="K75" s="755" t="s">
        <v>32</v>
      </c>
      <c r="L75" s="756" t="s">
        <v>685</v>
      </c>
      <c r="M75" s="385" t="s">
        <v>685</v>
      </c>
      <c r="N75" s="774">
        <v>0.5453643798828125</v>
      </c>
      <c r="O75" s="775">
        <v>0.5307769775390625</v>
      </c>
      <c r="P75" s="776">
        <v>-2.6747992501608798E-2</v>
      </c>
      <c r="Q75" s="777">
        <v>-1.458740234375E-2</v>
      </c>
      <c r="R75" s="775">
        <v>-1.0521164536014661E-3</v>
      </c>
      <c r="S75" s="756">
        <v>2020</v>
      </c>
      <c r="T75" s="755" t="s">
        <v>221</v>
      </c>
      <c r="U75" s="755" t="s">
        <v>2177</v>
      </c>
    </row>
    <row r="76" spans="1:21" s="534" customFormat="1" x14ac:dyDescent="0.25">
      <c r="A76" s="534" t="str">
        <f t="shared" ref="A76:A139" si="2">C76&amp;"-"&amp;B76</f>
        <v>China-4a</v>
      </c>
      <c r="B76" s="534" t="str">
        <f>$B$75</f>
        <v>4a</v>
      </c>
      <c r="C76" s="706" t="s">
        <v>11</v>
      </c>
      <c r="D76" s="706" t="s">
        <v>1975</v>
      </c>
      <c r="E76" s="710">
        <v>1.5</v>
      </c>
      <c r="F76" s="706" t="s">
        <v>1904</v>
      </c>
      <c r="G76" s="706"/>
      <c r="H76" s="706">
        <v>2020</v>
      </c>
      <c r="I76" s="706" t="s">
        <v>1945</v>
      </c>
      <c r="K76" s="755" t="s">
        <v>32</v>
      </c>
      <c r="L76" s="756" t="s">
        <v>32</v>
      </c>
      <c r="M76" s="534" t="s">
        <v>2158</v>
      </c>
      <c r="N76" s="774">
        <v>0.5453643798828125</v>
      </c>
      <c r="O76" s="775">
        <v>0.5307769775390625</v>
      </c>
      <c r="P76" s="776">
        <v>-2.6747992501608798E-2</v>
      </c>
      <c r="Q76" s="777">
        <v>-1.458740234375E-2</v>
      </c>
      <c r="R76" s="775">
        <v>-1.0521164536014661E-3</v>
      </c>
      <c r="S76" s="756">
        <v>2020</v>
      </c>
      <c r="T76" s="755" t="s">
        <v>221</v>
      </c>
      <c r="U76" s="755" t="s">
        <v>2177</v>
      </c>
    </row>
    <row r="77" spans="1:21" s="534" customFormat="1" x14ac:dyDescent="0.25">
      <c r="A77" s="534" t="str">
        <f t="shared" si="2"/>
        <v>China-4b</v>
      </c>
      <c r="B77" s="8" t="str">
        <f>HYPERLINK('High impact policies'!B126)</f>
        <v>4b</v>
      </c>
      <c r="C77" s="385" t="s">
        <v>11</v>
      </c>
      <c r="D77" s="385" t="s">
        <v>1976</v>
      </c>
      <c r="E77" s="702">
        <v>2000000</v>
      </c>
      <c r="F77" s="385" t="s">
        <v>1978</v>
      </c>
      <c r="G77" s="385"/>
      <c r="H77" s="385">
        <v>2020</v>
      </c>
      <c r="I77" s="385" t="s">
        <v>337</v>
      </c>
      <c r="K77" s="755" t="s">
        <v>32</v>
      </c>
      <c r="L77" s="756" t="s">
        <v>32</v>
      </c>
      <c r="M77" s="23" t="s">
        <v>493</v>
      </c>
      <c r="N77" s="774">
        <v>0.5453643798828125</v>
      </c>
      <c r="O77" s="775">
        <v>0.5307769775390625</v>
      </c>
      <c r="P77" s="776">
        <v>-2.6747992501608798E-2</v>
      </c>
      <c r="Q77" s="777">
        <v>-1.458740234375E-2</v>
      </c>
      <c r="R77" s="775">
        <v>-1.0521164536014661E-3</v>
      </c>
      <c r="S77" s="756">
        <v>2020</v>
      </c>
      <c r="T77" s="755" t="s">
        <v>221</v>
      </c>
      <c r="U77" s="755" t="s">
        <v>2177</v>
      </c>
    </row>
    <row r="78" spans="1:21" s="534" customFormat="1" x14ac:dyDescent="0.25">
      <c r="A78" s="534" t="str">
        <f t="shared" si="2"/>
        <v>China-4b</v>
      </c>
      <c r="B78" s="534" t="str">
        <f>$B$77</f>
        <v>4b</v>
      </c>
      <c r="C78" s="385" t="s">
        <v>11</v>
      </c>
      <c r="D78" s="706" t="s">
        <v>1977</v>
      </c>
      <c r="E78" s="702">
        <v>6</v>
      </c>
      <c r="F78" s="385" t="s">
        <v>1904</v>
      </c>
      <c r="G78" s="385"/>
      <c r="H78" s="706">
        <v>2020</v>
      </c>
      <c r="I78" s="706" t="s">
        <v>1945</v>
      </c>
      <c r="K78" s="755" t="s">
        <v>32</v>
      </c>
      <c r="L78" s="756" t="s">
        <v>32</v>
      </c>
      <c r="M78" s="534" t="s">
        <v>493</v>
      </c>
      <c r="N78" s="774">
        <v>0.5453643798828125</v>
      </c>
      <c r="O78" s="775">
        <v>0.5307769775390625</v>
      </c>
      <c r="P78" s="776">
        <v>-2.6747992501608798E-2</v>
      </c>
      <c r="Q78" s="777">
        <v>-1.458740234375E-2</v>
      </c>
      <c r="R78" s="775">
        <v>-1.0521164536014661E-3</v>
      </c>
      <c r="S78" s="756">
        <v>2020</v>
      </c>
      <c r="T78" s="755" t="s">
        <v>221</v>
      </c>
      <c r="U78" s="755" t="s">
        <v>2177</v>
      </c>
    </row>
    <row r="79" spans="1:21" s="534" customFormat="1" x14ac:dyDescent="0.25">
      <c r="A79" s="534" t="str">
        <f t="shared" si="2"/>
        <v>China-4c</v>
      </c>
      <c r="B79" s="8" t="str">
        <f>HYPERLINK('High impact policies'!B128)</f>
        <v>4c</v>
      </c>
      <c r="C79" s="23" t="s">
        <v>11</v>
      </c>
      <c r="D79" s="23" t="s">
        <v>2278</v>
      </c>
      <c r="E79" s="947">
        <v>1.1000000000000001</v>
      </c>
      <c r="F79" s="23" t="s">
        <v>1413</v>
      </c>
      <c r="G79" s="23"/>
      <c r="H79" s="23">
        <v>2020</v>
      </c>
      <c r="I79" s="23" t="s">
        <v>337</v>
      </c>
      <c r="J79" s="23"/>
      <c r="K79" s="755" t="s">
        <v>32</v>
      </c>
      <c r="L79" s="756" t="s">
        <v>32</v>
      </c>
      <c r="M79" s="23" t="s">
        <v>32</v>
      </c>
      <c r="N79" s="768">
        <v>8.4101601280000011</v>
      </c>
      <c r="O79" s="769">
        <v>6.9</v>
      </c>
      <c r="P79" s="770">
        <v>-0.17956377821775529</v>
      </c>
      <c r="Q79" s="771">
        <v>1.5101601280000008</v>
      </c>
      <c r="R79" s="769">
        <v>-8.1461075100970962E-2</v>
      </c>
      <c r="S79" s="756">
        <v>2020</v>
      </c>
      <c r="T79" s="755" t="s">
        <v>221</v>
      </c>
      <c r="U79" s="755" t="s">
        <v>2170</v>
      </c>
    </row>
    <row r="80" spans="1:21" s="534" customFormat="1" x14ac:dyDescent="0.25">
      <c r="A80" s="534" t="str">
        <f t="shared" si="2"/>
        <v>China-7a</v>
      </c>
      <c r="B80" s="8" t="str">
        <f>HYPERLINK('High impact policies'!B129)</f>
        <v>7a</v>
      </c>
      <c r="C80" s="23" t="s">
        <v>11</v>
      </c>
      <c r="D80" s="23" t="s">
        <v>2278</v>
      </c>
      <c r="E80" s="948">
        <v>1.5</v>
      </c>
      <c r="F80" s="23" t="s">
        <v>1413</v>
      </c>
      <c r="G80" s="23">
        <v>2015</v>
      </c>
      <c r="H80" s="23"/>
      <c r="I80" s="23" t="s">
        <v>337</v>
      </c>
      <c r="J80" s="23"/>
      <c r="K80" s="755" t="s">
        <v>32</v>
      </c>
      <c r="L80" s="756" t="s">
        <v>32</v>
      </c>
      <c r="M80" s="23" t="s">
        <v>32</v>
      </c>
      <c r="N80" s="768">
        <v>8.4101601280000011</v>
      </c>
      <c r="O80" s="769">
        <v>6.9</v>
      </c>
      <c r="P80" s="770">
        <v>-0.17956377821775529</v>
      </c>
      <c r="Q80" s="771">
        <v>1.5101601280000008</v>
      </c>
      <c r="R80" s="769">
        <v>-8.1461075100970962E-2</v>
      </c>
      <c r="S80" s="756">
        <v>2020</v>
      </c>
      <c r="T80" s="755" t="s">
        <v>221</v>
      </c>
      <c r="U80" s="755" t="s">
        <v>2170</v>
      </c>
    </row>
    <row r="81" spans="1:22" s="534" customFormat="1" x14ac:dyDescent="0.25">
      <c r="A81" s="534" t="str">
        <f t="shared" si="2"/>
        <v>China-7n</v>
      </c>
      <c r="B81" s="8" t="str">
        <f>HYPERLINK('High impact policies'!B130)</f>
        <v>7n</v>
      </c>
      <c r="C81" s="23" t="s">
        <v>11</v>
      </c>
      <c r="D81" s="23" t="s">
        <v>2194</v>
      </c>
      <c r="E81" s="23">
        <f>(0.19+0.29)/2</f>
        <v>0.24</v>
      </c>
      <c r="F81" s="23" t="s">
        <v>1459</v>
      </c>
      <c r="G81" s="23">
        <v>2015</v>
      </c>
      <c r="H81" s="23"/>
      <c r="I81" s="23" t="s">
        <v>337</v>
      </c>
      <c r="J81" s="949" t="s">
        <v>2125</v>
      </c>
      <c r="K81" s="755" t="s">
        <v>32</v>
      </c>
      <c r="L81" s="756" t="s">
        <v>32</v>
      </c>
      <c r="M81" s="23" t="s">
        <v>32</v>
      </c>
      <c r="N81" s="774">
        <v>3.8654888960000005</v>
      </c>
      <c r="O81" s="775">
        <v>3.8854599680000002</v>
      </c>
      <c r="P81" s="776">
        <v>5.1665061101755392E-3</v>
      </c>
      <c r="Q81" s="777">
        <v>1.9971071999999701E-2</v>
      </c>
      <c r="R81" s="775">
        <v>1.4404136495393103E-3</v>
      </c>
      <c r="S81" s="756">
        <v>2020</v>
      </c>
      <c r="T81" s="755" t="s">
        <v>221</v>
      </c>
      <c r="U81" s="755" t="s">
        <v>2171</v>
      </c>
    </row>
    <row r="82" spans="1:22" s="534" customFormat="1" x14ac:dyDescent="0.25">
      <c r="A82" s="534" t="str">
        <f t="shared" si="2"/>
        <v>China-7c</v>
      </c>
      <c r="B82" s="8" t="str">
        <f>HYPERLINK('High impact policies'!B131)</f>
        <v>7c</v>
      </c>
      <c r="C82" s="23" t="s">
        <v>11</v>
      </c>
      <c r="D82" s="23" t="s">
        <v>2195</v>
      </c>
      <c r="E82" s="23">
        <f>(0.08+0.13)/2</f>
        <v>0.10500000000000001</v>
      </c>
      <c r="F82" s="23" t="s">
        <v>1459</v>
      </c>
      <c r="G82" s="23">
        <v>2015</v>
      </c>
      <c r="H82" s="23"/>
      <c r="I82" s="23" t="s">
        <v>337</v>
      </c>
      <c r="J82" s="949" t="s">
        <v>2126</v>
      </c>
      <c r="K82" s="755" t="s">
        <v>32</v>
      </c>
      <c r="L82" s="756" t="s">
        <v>32</v>
      </c>
      <c r="M82" s="23" t="s">
        <v>32</v>
      </c>
      <c r="N82" s="774">
        <v>3.8654888960000005</v>
      </c>
      <c r="O82" s="775">
        <v>3.8854599680000002</v>
      </c>
      <c r="P82" s="776">
        <v>5.1665061101755392E-3</v>
      </c>
      <c r="Q82" s="777">
        <v>1.9971071999999701E-2</v>
      </c>
      <c r="R82" s="775">
        <v>1.4404136495393103E-3</v>
      </c>
      <c r="S82" s="756">
        <v>2020</v>
      </c>
      <c r="T82" s="755" t="s">
        <v>221</v>
      </c>
      <c r="U82" s="755" t="s">
        <v>2171</v>
      </c>
    </row>
    <row r="83" spans="1:22" s="534" customFormat="1" x14ac:dyDescent="0.25">
      <c r="A83" s="534" t="str">
        <f t="shared" si="2"/>
        <v>China-9c</v>
      </c>
      <c r="B83" s="8" t="str">
        <f>HYPERLINK('High impact policies'!B147)</f>
        <v>9c</v>
      </c>
      <c r="C83" s="23" t="s">
        <v>11</v>
      </c>
      <c r="D83" s="23" t="s">
        <v>1979</v>
      </c>
      <c r="E83" s="23">
        <v>23.04</v>
      </c>
      <c r="F83" s="23" t="s">
        <v>1904</v>
      </c>
      <c r="G83" s="23"/>
      <c r="H83" s="23">
        <v>2020</v>
      </c>
      <c r="I83" s="23" t="s">
        <v>337</v>
      </c>
      <c r="J83" s="282"/>
      <c r="K83" s="755" t="s">
        <v>2163</v>
      </c>
      <c r="L83" s="755"/>
      <c r="N83" s="764"/>
      <c r="O83" s="765"/>
      <c r="P83" s="521"/>
      <c r="Q83" s="772"/>
      <c r="R83" s="765"/>
      <c r="S83" s="755"/>
      <c r="T83" s="755"/>
      <c r="U83" s="755"/>
    </row>
    <row r="84" spans="1:22" s="534" customFormat="1" x14ac:dyDescent="0.25">
      <c r="A84" s="534" t="str">
        <f t="shared" si="2"/>
        <v>China-9c</v>
      </c>
      <c r="B84" s="534" t="str">
        <f>$B$83</f>
        <v>9c</v>
      </c>
      <c r="C84" s="706" t="s">
        <v>11</v>
      </c>
      <c r="D84" s="706" t="s">
        <v>1979</v>
      </c>
      <c r="E84" s="707">
        <v>221000000</v>
      </c>
      <c r="F84" s="706" t="s">
        <v>1907</v>
      </c>
      <c r="G84" s="706"/>
      <c r="H84" s="706">
        <v>2020</v>
      </c>
      <c r="I84" s="706" t="s">
        <v>1945</v>
      </c>
      <c r="K84" s="755" t="s">
        <v>2163</v>
      </c>
      <c r="L84" s="755"/>
      <c r="N84" s="764"/>
      <c r="O84" s="765"/>
      <c r="P84" s="521"/>
      <c r="Q84" s="772"/>
      <c r="R84" s="765"/>
      <c r="S84" s="755"/>
      <c r="T84" s="755"/>
      <c r="U84" s="755"/>
    </row>
    <row r="85" spans="1:22" s="534" customFormat="1" x14ac:dyDescent="0.25">
      <c r="A85" s="534" t="str">
        <f t="shared" si="2"/>
        <v>China-9c</v>
      </c>
      <c r="B85" s="534" t="str">
        <f>$B$83</f>
        <v>9c</v>
      </c>
      <c r="C85" s="706" t="s">
        <v>11</v>
      </c>
      <c r="D85" s="706" t="s">
        <v>1980</v>
      </c>
      <c r="E85" s="707">
        <v>16133000000</v>
      </c>
      <c r="F85" s="706" t="s">
        <v>1981</v>
      </c>
      <c r="G85" s="706"/>
      <c r="H85" s="706">
        <v>2020</v>
      </c>
      <c r="I85" s="706" t="s">
        <v>1945</v>
      </c>
      <c r="K85" s="755" t="s">
        <v>2163</v>
      </c>
      <c r="L85" s="755"/>
      <c r="N85" s="764"/>
      <c r="O85" s="765"/>
      <c r="P85" s="521"/>
      <c r="Q85" s="772"/>
      <c r="R85" s="765"/>
      <c r="S85" s="755"/>
      <c r="T85" s="755"/>
      <c r="U85" s="755"/>
    </row>
    <row r="86" spans="1:22" s="738" customFormat="1" x14ac:dyDescent="0.25">
      <c r="A86" s="534" t="str">
        <f t="shared" si="2"/>
        <v>China-2i</v>
      </c>
      <c r="B86" s="8" t="str">
        <f>HYPERLINK('High impact policies'!B110)</f>
        <v>2i</v>
      </c>
      <c r="C86" s="738" t="s">
        <v>11</v>
      </c>
      <c r="D86" s="738" t="s">
        <v>1955</v>
      </c>
      <c r="E86" s="742">
        <v>20</v>
      </c>
      <c r="F86" s="738" t="s">
        <v>1904</v>
      </c>
      <c r="H86" s="738">
        <v>2030</v>
      </c>
      <c r="I86" s="738" t="s">
        <v>784</v>
      </c>
      <c r="K86" s="755" t="s">
        <v>31</v>
      </c>
      <c r="L86" s="755"/>
      <c r="M86" s="534"/>
      <c r="N86" s="764"/>
      <c r="O86" s="765"/>
      <c r="P86" s="521"/>
      <c r="Q86" s="772"/>
      <c r="R86" s="765"/>
      <c r="S86" s="755"/>
      <c r="T86" s="755"/>
      <c r="U86" s="755"/>
    </row>
    <row r="87" spans="1:22" s="534" customFormat="1" x14ac:dyDescent="0.25">
      <c r="A87" s="534" t="str">
        <f t="shared" si="2"/>
        <v>European Union-1a</v>
      </c>
      <c r="B87" s="8" t="str">
        <f>HYPERLINK('High impact policies'!B153)</f>
        <v>1a</v>
      </c>
      <c r="C87" s="385" t="s">
        <v>916</v>
      </c>
      <c r="D87" s="385" t="s">
        <v>1982</v>
      </c>
      <c r="E87" s="385">
        <v>-20</v>
      </c>
      <c r="F87" s="385" t="s">
        <v>1904</v>
      </c>
      <c r="G87" s="385">
        <v>1990</v>
      </c>
      <c r="H87" s="385">
        <v>2020</v>
      </c>
      <c r="I87" s="385" t="s">
        <v>337</v>
      </c>
      <c r="K87" s="755" t="s">
        <v>31</v>
      </c>
      <c r="L87" s="755"/>
      <c r="N87" s="764"/>
      <c r="O87" s="765"/>
      <c r="P87" s="521"/>
      <c r="Q87" s="772"/>
      <c r="R87" s="765"/>
      <c r="S87" s="755"/>
      <c r="T87" s="755"/>
      <c r="U87" s="755"/>
      <c r="V87" s="755"/>
    </row>
    <row r="88" spans="1:22" s="534" customFormat="1" x14ac:dyDescent="0.25">
      <c r="A88" s="534" t="str">
        <f t="shared" si="2"/>
        <v>European Union-7</v>
      </c>
      <c r="B88" s="8" t="str">
        <f>HYPERLINK('High impact policies'!B165)</f>
        <v>7</v>
      </c>
      <c r="C88" s="385" t="s">
        <v>916</v>
      </c>
      <c r="D88" s="385" t="s">
        <v>1983</v>
      </c>
      <c r="E88" s="385">
        <v>-21</v>
      </c>
      <c r="F88" s="385" t="s">
        <v>1904</v>
      </c>
      <c r="G88" s="385">
        <v>2005</v>
      </c>
      <c r="H88" s="385">
        <v>2020</v>
      </c>
      <c r="I88" s="385" t="s">
        <v>337</v>
      </c>
      <c r="K88" s="755" t="s">
        <v>31</v>
      </c>
      <c r="L88" s="755"/>
      <c r="N88" s="764"/>
      <c r="O88" s="765"/>
      <c r="P88" s="521"/>
      <c r="Q88" s="772"/>
      <c r="R88" s="765"/>
      <c r="S88" s="755"/>
      <c r="T88" s="755"/>
      <c r="U88" s="755"/>
      <c r="V88" s="755"/>
    </row>
    <row r="89" spans="1:22" s="534" customFormat="1" x14ac:dyDescent="0.25">
      <c r="A89" s="534" t="str">
        <f t="shared" si="2"/>
        <v>European Union-8a</v>
      </c>
      <c r="B89" s="8" t="str">
        <f>HYPERLINK('High impact policies'!B166)</f>
        <v>8a</v>
      </c>
      <c r="C89" s="385" t="s">
        <v>916</v>
      </c>
      <c r="D89" s="385" t="s">
        <v>1984</v>
      </c>
      <c r="E89" s="385">
        <v>-2.6</v>
      </c>
      <c r="F89" s="385" t="s">
        <v>1904</v>
      </c>
      <c r="G89" s="385">
        <v>1990</v>
      </c>
      <c r="H89" s="385">
        <v>2030</v>
      </c>
      <c r="I89" s="385" t="s">
        <v>337</v>
      </c>
      <c r="K89" s="755" t="s">
        <v>31</v>
      </c>
      <c r="L89" s="755"/>
      <c r="N89" s="764"/>
      <c r="O89" s="765"/>
      <c r="P89" s="521"/>
      <c r="Q89" s="772"/>
      <c r="R89" s="765"/>
      <c r="S89" s="755"/>
      <c r="T89" s="755"/>
      <c r="U89" s="755"/>
      <c r="V89" s="755"/>
    </row>
    <row r="90" spans="1:22" s="534" customFormat="1" x14ac:dyDescent="0.25">
      <c r="A90" s="534" t="str">
        <f t="shared" si="2"/>
        <v>European Union-1b</v>
      </c>
      <c r="B90" s="8" t="str">
        <f>HYPERLINK('High impact policies'!B154)</f>
        <v>1b</v>
      </c>
      <c r="C90" s="385" t="s">
        <v>916</v>
      </c>
      <c r="D90" s="18" t="s">
        <v>2498</v>
      </c>
      <c r="E90" s="385">
        <v>20</v>
      </c>
      <c r="F90" s="385" t="s">
        <v>1904</v>
      </c>
      <c r="G90" s="385"/>
      <c r="H90" s="385">
        <v>2020</v>
      </c>
      <c r="I90" s="385" t="s">
        <v>337</v>
      </c>
      <c r="K90" s="755" t="s">
        <v>31</v>
      </c>
      <c r="L90" s="755"/>
      <c r="N90" s="764"/>
      <c r="O90" s="765"/>
      <c r="P90" s="521"/>
      <c r="Q90" s="772"/>
      <c r="R90" s="765"/>
      <c r="S90" s="755"/>
      <c r="T90" s="755"/>
      <c r="U90" s="755"/>
      <c r="V90" s="755"/>
    </row>
    <row r="91" spans="1:22" s="534" customFormat="1" x14ac:dyDescent="0.25">
      <c r="A91" s="534" t="str">
        <f t="shared" si="2"/>
        <v>European Union-1c</v>
      </c>
      <c r="B91" s="8" t="str">
        <f>HYPERLINK('High impact policies'!B155)</f>
        <v>1c</v>
      </c>
      <c r="C91" s="385" t="s">
        <v>916</v>
      </c>
      <c r="D91" s="385" t="s">
        <v>1986</v>
      </c>
      <c r="E91" s="385">
        <v>-20</v>
      </c>
      <c r="F91" s="385" t="s">
        <v>1904</v>
      </c>
      <c r="G91" s="385" t="s">
        <v>1943</v>
      </c>
      <c r="H91" s="385">
        <v>2020</v>
      </c>
      <c r="I91" s="385" t="s">
        <v>337</v>
      </c>
      <c r="K91" s="755" t="s">
        <v>31</v>
      </c>
      <c r="L91" s="755"/>
      <c r="N91" s="764"/>
      <c r="O91" s="765"/>
      <c r="P91" s="521"/>
      <c r="Q91" s="772"/>
      <c r="R91" s="765"/>
      <c r="S91" s="755"/>
      <c r="T91" s="755"/>
      <c r="U91" s="755"/>
      <c r="V91" s="755"/>
    </row>
    <row r="92" spans="1:22" s="534" customFormat="1" x14ac:dyDescent="0.25">
      <c r="A92" s="534" t="str">
        <f t="shared" si="2"/>
        <v>European Union-1c</v>
      </c>
      <c r="B92" s="534" t="str">
        <f>$B$91</f>
        <v>1c</v>
      </c>
      <c r="C92" s="706" t="s">
        <v>916</v>
      </c>
      <c r="D92" s="706" t="s">
        <v>1988</v>
      </c>
      <c r="E92" s="706">
        <v>1474</v>
      </c>
      <c r="F92" s="706" t="s">
        <v>1987</v>
      </c>
      <c r="G92" s="706"/>
      <c r="H92" s="706">
        <v>2020</v>
      </c>
      <c r="I92" s="706" t="s">
        <v>1945</v>
      </c>
      <c r="K92" s="755" t="s">
        <v>31</v>
      </c>
      <c r="L92" s="755"/>
      <c r="N92" s="764"/>
      <c r="O92" s="765"/>
      <c r="P92" s="521"/>
      <c r="Q92" s="772"/>
      <c r="R92" s="765"/>
      <c r="S92" s="755"/>
      <c r="T92" s="755"/>
      <c r="U92" s="755"/>
      <c r="V92" s="755"/>
    </row>
    <row r="93" spans="1:22" s="534" customFormat="1" x14ac:dyDescent="0.25">
      <c r="A93" s="534" t="str">
        <f t="shared" si="2"/>
        <v>European Union-11a</v>
      </c>
      <c r="B93" s="8" t="str">
        <f>HYPERLINK('High impact policies'!B172)</f>
        <v>11a</v>
      </c>
      <c r="C93" s="385" t="s">
        <v>916</v>
      </c>
      <c r="D93" s="385" t="s">
        <v>1989</v>
      </c>
      <c r="E93" s="385">
        <v>0</v>
      </c>
      <c r="F93" s="385" t="s">
        <v>1990</v>
      </c>
      <c r="G93" s="385"/>
      <c r="H93" s="385">
        <v>2020</v>
      </c>
      <c r="I93" s="385" t="s">
        <v>337</v>
      </c>
      <c r="K93" s="755" t="s">
        <v>32</v>
      </c>
      <c r="L93" s="755" t="s">
        <v>32</v>
      </c>
      <c r="N93" s="764">
        <v>19.41063623046875</v>
      </c>
      <c r="O93" s="765">
        <v>19.40144677734375</v>
      </c>
      <c r="P93" s="106">
        <v>-4.734235918849086E-4</v>
      </c>
      <c r="Q93" s="772">
        <v>-9.1894531249998579E-3</v>
      </c>
      <c r="R93" s="765">
        <v>-5.2806080932181726E-4</v>
      </c>
      <c r="S93" s="756">
        <v>2020</v>
      </c>
      <c r="T93" s="755" t="s">
        <v>2178</v>
      </c>
      <c r="U93" s="755" t="s">
        <v>2176</v>
      </c>
      <c r="V93" s="755"/>
    </row>
    <row r="94" spans="1:22" s="534" customFormat="1" x14ac:dyDescent="0.25">
      <c r="A94" s="534" t="str">
        <f t="shared" si="2"/>
        <v>European Union-11b</v>
      </c>
      <c r="B94" s="8" t="str">
        <f>HYPERLINK('High impact policies'!B173)</f>
        <v>11b</v>
      </c>
      <c r="C94" s="385" t="s">
        <v>916</v>
      </c>
      <c r="D94" s="385" t="s">
        <v>1991</v>
      </c>
      <c r="E94" s="385">
        <v>0</v>
      </c>
      <c r="F94" s="385" t="s">
        <v>1990</v>
      </c>
      <c r="G94" s="385"/>
      <c r="H94" s="385">
        <v>2018</v>
      </c>
      <c r="I94" s="385" t="s">
        <v>337</v>
      </c>
      <c r="K94" s="755" t="s">
        <v>32</v>
      </c>
      <c r="L94" s="755" t="s">
        <v>685</v>
      </c>
      <c r="M94" s="534" t="s">
        <v>685</v>
      </c>
      <c r="N94" s="781">
        <v>19.41063623046875</v>
      </c>
      <c r="O94" s="782">
        <v>19.40144677734375</v>
      </c>
      <c r="P94" s="783">
        <v>-4.734235918849086E-4</v>
      </c>
      <c r="Q94" s="778">
        <v>-9.1894531249998579E-3</v>
      </c>
      <c r="R94" s="782">
        <v>-5.2806080932181726E-4</v>
      </c>
      <c r="S94" s="756">
        <v>2020</v>
      </c>
      <c r="T94" s="755" t="s">
        <v>2178</v>
      </c>
      <c r="U94" s="755" t="s">
        <v>2176</v>
      </c>
      <c r="V94" s="755"/>
    </row>
    <row r="95" spans="1:22" s="534" customFormat="1" x14ac:dyDescent="0.25">
      <c r="A95" s="534" t="str">
        <f t="shared" si="2"/>
        <v>European Union-9</v>
      </c>
      <c r="B95" s="8" t="str">
        <f>HYPERLINK('High impact policies'!B168)</f>
        <v>9</v>
      </c>
      <c r="C95" s="385" t="s">
        <v>916</v>
      </c>
      <c r="D95" s="385" t="s">
        <v>1992</v>
      </c>
      <c r="E95" s="385">
        <v>10</v>
      </c>
      <c r="F95" s="385" t="s">
        <v>1904</v>
      </c>
      <c r="G95" s="385"/>
      <c r="H95" s="385">
        <v>2020</v>
      </c>
      <c r="I95" s="385" t="s">
        <v>337</v>
      </c>
      <c r="K95" s="755" t="s">
        <v>32</v>
      </c>
      <c r="L95" s="755" t="s">
        <v>32</v>
      </c>
      <c r="M95" s="534" t="s">
        <v>2179</v>
      </c>
      <c r="N95" s="764">
        <v>0.71193371582031251</v>
      </c>
      <c r="O95" s="765">
        <v>0.75546191406249996</v>
      </c>
      <c r="P95" s="106">
        <v>6.1140801840004012E-2</v>
      </c>
      <c r="Q95" s="772">
        <v>4.3528198242187455E-2</v>
      </c>
      <c r="R95" s="765">
        <v>2.5012952652816722E-3</v>
      </c>
      <c r="S95" s="756">
        <v>2020</v>
      </c>
      <c r="T95" s="755" t="s">
        <v>2178</v>
      </c>
      <c r="U95" s="755" t="s">
        <v>2162</v>
      </c>
      <c r="V95" s="755"/>
    </row>
    <row r="96" spans="1:22" s="534" customFormat="1" x14ac:dyDescent="0.25">
      <c r="A96" s="534" t="str">
        <f t="shared" si="2"/>
        <v>European Union-5b</v>
      </c>
      <c r="B96" s="8" t="str">
        <f>HYPERLINK('High impact policies'!B163)</f>
        <v>5b</v>
      </c>
      <c r="C96" s="385" t="s">
        <v>916</v>
      </c>
      <c r="D96" s="385" t="s">
        <v>2273</v>
      </c>
      <c r="E96" s="385">
        <v>0.83</v>
      </c>
      <c r="F96" s="385" t="s">
        <v>1413</v>
      </c>
      <c r="G96" s="385"/>
      <c r="H96" s="385">
        <v>2020</v>
      </c>
      <c r="I96" s="385" t="s">
        <v>337</v>
      </c>
      <c r="K96" s="755" t="s">
        <v>32</v>
      </c>
      <c r="L96" s="755" t="s">
        <v>32</v>
      </c>
      <c r="N96" s="764">
        <v>6.8676418560000005</v>
      </c>
      <c r="O96" s="765">
        <v>6.3088967680000003</v>
      </c>
      <c r="P96" s="106">
        <v>-8.1359089439389687E-2</v>
      </c>
      <c r="Q96" s="772">
        <v>-0.55874508800000022</v>
      </c>
      <c r="R96" s="765">
        <v>-3.210761068808158E-2</v>
      </c>
      <c r="S96" s="756">
        <v>2020</v>
      </c>
      <c r="T96" s="755" t="s">
        <v>2178</v>
      </c>
      <c r="U96" s="755" t="s">
        <v>2170</v>
      </c>
      <c r="V96" s="755"/>
    </row>
    <row r="97" spans="1:22" s="534" customFormat="1" x14ac:dyDescent="0.25">
      <c r="A97" s="534" t="str">
        <f t="shared" si="2"/>
        <v>European Union-4b</v>
      </c>
      <c r="B97" s="8" t="str">
        <f>HYPERLINK('High impact policies'!B161)</f>
        <v>4b</v>
      </c>
      <c r="C97" s="385" t="s">
        <v>916</v>
      </c>
      <c r="D97" s="385" t="s">
        <v>2283</v>
      </c>
      <c r="E97" s="385">
        <v>1.28</v>
      </c>
      <c r="F97" s="385" t="s">
        <v>1413</v>
      </c>
      <c r="G97" s="385"/>
      <c r="H97" s="385">
        <v>2020</v>
      </c>
      <c r="I97" s="385" t="s">
        <v>337</v>
      </c>
      <c r="K97" s="755" t="s">
        <v>32</v>
      </c>
      <c r="L97" s="755" t="s">
        <v>493</v>
      </c>
      <c r="M97" s="534" t="s">
        <v>32</v>
      </c>
      <c r="N97" s="764">
        <v>5.6925322240000007</v>
      </c>
      <c r="O97" s="765">
        <v>5.6845839360000001</v>
      </c>
      <c r="P97" s="106">
        <v>-1.3962657895005321E-3</v>
      </c>
      <c r="Q97" s="772">
        <v>-7.9482880000005807E-3</v>
      </c>
      <c r="R97" s="765">
        <v>-4.567387565844142E-4</v>
      </c>
      <c r="S97" s="756">
        <v>2020</v>
      </c>
      <c r="T97" s="755" t="s">
        <v>2178</v>
      </c>
      <c r="U97" s="755" t="s">
        <v>2171</v>
      </c>
      <c r="V97" s="755"/>
    </row>
    <row r="98" spans="1:22" s="738" customFormat="1" x14ac:dyDescent="0.25">
      <c r="A98" s="534" t="str">
        <f t="shared" si="2"/>
        <v>European Union-2b</v>
      </c>
      <c r="B98" s="8" t="str">
        <f>HYPERLINK('High impact policies'!B157)</f>
        <v>2b</v>
      </c>
      <c r="C98" s="738" t="s">
        <v>916</v>
      </c>
      <c r="D98" s="738" t="s">
        <v>2131</v>
      </c>
      <c r="E98" s="753">
        <v>27</v>
      </c>
      <c r="F98" s="753" t="s">
        <v>1904</v>
      </c>
      <c r="H98" s="738">
        <v>2030</v>
      </c>
      <c r="I98" s="738" t="s">
        <v>784</v>
      </c>
      <c r="K98" s="385" t="s">
        <v>31</v>
      </c>
      <c r="L98" s="385"/>
      <c r="M98" s="534" t="s">
        <v>32</v>
      </c>
      <c r="N98" s="764"/>
      <c r="O98" s="765"/>
      <c r="P98" s="106"/>
      <c r="Q98" s="772"/>
      <c r="R98" s="765"/>
    </row>
    <row r="99" spans="1:22" s="738" customFormat="1" x14ac:dyDescent="0.25">
      <c r="A99" s="534" t="str">
        <f t="shared" si="2"/>
        <v>European Union-2c</v>
      </c>
      <c r="B99" s="8" t="str">
        <f>HYPERLINK('High impact policies'!B158)</f>
        <v>2c</v>
      </c>
      <c r="C99" s="738" t="s">
        <v>916</v>
      </c>
      <c r="D99" s="753" t="s">
        <v>1986</v>
      </c>
      <c r="E99" s="738">
        <v>-27</v>
      </c>
      <c r="F99" s="738" t="s">
        <v>1904</v>
      </c>
      <c r="G99" s="738" t="s">
        <v>1943</v>
      </c>
      <c r="H99" s="738">
        <v>2030</v>
      </c>
      <c r="I99" s="738" t="s">
        <v>784</v>
      </c>
      <c r="J99" s="752"/>
      <c r="K99" s="385" t="s">
        <v>32</v>
      </c>
      <c r="L99" s="385" t="s">
        <v>685</v>
      </c>
      <c r="M99" s="534"/>
      <c r="N99" s="764"/>
      <c r="O99" s="765"/>
      <c r="P99" s="106"/>
      <c r="Q99" s="772"/>
      <c r="R99" s="765"/>
    </row>
    <row r="100" spans="1:22" s="738" customFormat="1" x14ac:dyDescent="0.25">
      <c r="A100" s="534" t="str">
        <f t="shared" si="2"/>
        <v>European Union-2c</v>
      </c>
      <c r="B100" s="738" t="str">
        <f>$B$99</f>
        <v>2c</v>
      </c>
      <c r="C100" s="706" t="s">
        <v>916</v>
      </c>
      <c r="D100" s="706" t="s">
        <v>1988</v>
      </c>
      <c r="E100" s="706">
        <v>57.3</v>
      </c>
      <c r="F100" s="706" t="s">
        <v>1948</v>
      </c>
      <c r="G100" s="706"/>
      <c r="H100" s="738">
        <v>2030</v>
      </c>
      <c r="I100" s="706" t="s">
        <v>1945</v>
      </c>
      <c r="J100" s="752"/>
      <c r="K100" s="385" t="s">
        <v>32</v>
      </c>
      <c r="L100" s="385" t="s">
        <v>685</v>
      </c>
      <c r="M100" s="534"/>
      <c r="N100" s="764"/>
      <c r="O100" s="765"/>
      <c r="P100" s="106"/>
      <c r="Q100" s="772"/>
      <c r="R100" s="765"/>
    </row>
    <row r="101" spans="1:22" s="738" customFormat="1" x14ac:dyDescent="0.25">
      <c r="A101" s="534" t="str">
        <f t="shared" si="2"/>
        <v>European Union-2c</v>
      </c>
      <c r="B101" s="738" t="str">
        <f>$B$99</f>
        <v>2c</v>
      </c>
      <c r="C101" s="706" t="s">
        <v>916</v>
      </c>
      <c r="D101" s="706" t="s">
        <v>2142</v>
      </c>
      <c r="E101" s="706">
        <v>43.5</v>
      </c>
      <c r="F101" s="706" t="s">
        <v>1948</v>
      </c>
      <c r="G101" s="706"/>
      <c r="H101" s="738">
        <v>2030</v>
      </c>
      <c r="I101" s="706" t="s">
        <v>1945</v>
      </c>
      <c r="J101" s="752"/>
      <c r="K101" s="385" t="s">
        <v>32</v>
      </c>
      <c r="L101" s="385" t="s">
        <v>685</v>
      </c>
      <c r="M101" s="534"/>
      <c r="N101" s="764"/>
      <c r="O101" s="765"/>
      <c r="P101" s="106"/>
      <c r="Q101" s="772"/>
      <c r="R101" s="765"/>
    </row>
    <row r="102" spans="1:22" s="534" customFormat="1" x14ac:dyDescent="0.25">
      <c r="A102" s="534" t="str">
        <f t="shared" si="2"/>
        <v>India-3c</v>
      </c>
      <c r="B102" s="8" t="str">
        <f>HYPERLINK('High impact policies'!B208)</f>
        <v>3c</v>
      </c>
      <c r="C102" s="385" t="s">
        <v>4</v>
      </c>
      <c r="D102" s="385" t="s">
        <v>1928</v>
      </c>
      <c r="E102" s="23">
        <v>20</v>
      </c>
      <c r="F102" s="385" t="s">
        <v>1883</v>
      </c>
      <c r="G102" s="385"/>
      <c r="H102" s="385">
        <v>2022</v>
      </c>
      <c r="I102" s="385" t="s">
        <v>337</v>
      </c>
      <c r="J102" s="752"/>
      <c r="K102" s="755" t="s">
        <v>32</v>
      </c>
      <c r="L102" s="755" t="s">
        <v>32</v>
      </c>
      <c r="M102" s="534" t="s">
        <v>32</v>
      </c>
      <c r="N102" s="768">
        <v>0.15408133800000001</v>
      </c>
      <c r="O102" s="769">
        <v>0.29149787600000004</v>
      </c>
      <c r="P102" s="770">
        <v>0.89184413754247138</v>
      </c>
      <c r="Q102" s="771">
        <v>0.13741653800000003</v>
      </c>
      <c r="R102" s="769">
        <v>3.4730165919154038E-2</v>
      </c>
      <c r="S102" s="756">
        <v>2025</v>
      </c>
      <c r="T102" s="755" t="s">
        <v>2180</v>
      </c>
      <c r="U102" s="755" t="s">
        <v>2167</v>
      </c>
    </row>
    <row r="103" spans="1:22" s="534" customFormat="1" x14ac:dyDescent="0.25">
      <c r="A103" s="534" t="str">
        <f t="shared" si="2"/>
        <v>India-3a</v>
      </c>
      <c r="B103" s="8" t="str">
        <f>HYPERLINK('High impact policies'!B206)</f>
        <v>3a</v>
      </c>
      <c r="C103" s="385" t="s">
        <v>4</v>
      </c>
      <c r="D103" s="385" t="s">
        <v>1929</v>
      </c>
      <c r="E103" s="23">
        <v>38.5</v>
      </c>
      <c r="F103" s="385" t="s">
        <v>1883</v>
      </c>
      <c r="G103" s="385"/>
      <c r="H103" s="385">
        <v>2022</v>
      </c>
      <c r="I103" s="385" t="s">
        <v>337</v>
      </c>
      <c r="J103" s="752"/>
      <c r="K103" s="755" t="s">
        <v>32</v>
      </c>
      <c r="L103" s="755" t="s">
        <v>32</v>
      </c>
      <c r="M103" s="534" t="s">
        <v>32</v>
      </c>
      <c r="N103" s="768">
        <v>0.29367447800000002</v>
      </c>
      <c r="O103" s="769">
        <v>0.39273160000000001</v>
      </c>
      <c r="P103" s="770">
        <v>0.33730245363711853</v>
      </c>
      <c r="Q103" s="771">
        <v>9.9057121999999997E-2</v>
      </c>
      <c r="R103" s="769">
        <v>2.5035343872030037E-2</v>
      </c>
      <c r="S103" s="756">
        <v>2025</v>
      </c>
      <c r="T103" s="755" t="s">
        <v>2180</v>
      </c>
      <c r="U103" s="755" t="s">
        <v>2168</v>
      </c>
    </row>
    <row r="104" spans="1:22" s="534" customFormat="1" x14ac:dyDescent="0.25">
      <c r="A104" s="534" t="str">
        <f t="shared" si="2"/>
        <v>India-3b</v>
      </c>
      <c r="B104" s="8" t="str">
        <f>HYPERLINK('High impact policies'!B207)</f>
        <v>3b</v>
      </c>
      <c r="C104" s="385" t="s">
        <v>4</v>
      </c>
      <c r="D104" s="385" t="s">
        <v>1926</v>
      </c>
      <c r="E104" s="385">
        <v>6.5</v>
      </c>
      <c r="F104" s="385" t="s">
        <v>1883</v>
      </c>
      <c r="G104" s="385"/>
      <c r="H104" s="385">
        <v>2022</v>
      </c>
      <c r="I104" s="385" t="s">
        <v>337</v>
      </c>
      <c r="K104" s="755" t="s">
        <v>32</v>
      </c>
      <c r="L104" s="755"/>
      <c r="N104" s="764" t="s">
        <v>685</v>
      </c>
      <c r="O104" s="765" t="s">
        <v>685</v>
      </c>
      <c r="P104" s="521" t="s">
        <v>685</v>
      </c>
      <c r="Q104" s="772" t="s">
        <v>685</v>
      </c>
      <c r="R104" s="765" t="s">
        <v>685</v>
      </c>
      <c r="S104" s="755"/>
      <c r="T104" s="755"/>
      <c r="U104" s="755"/>
    </row>
    <row r="105" spans="1:22" s="534" customFormat="1" x14ac:dyDescent="0.25">
      <c r="A105" s="534" t="str">
        <f t="shared" si="2"/>
        <v>India-3</v>
      </c>
      <c r="B105" s="8" t="str">
        <f>HYPERLINK('High impact policies'!B205)</f>
        <v>3</v>
      </c>
      <c r="C105" s="706" t="s">
        <v>4</v>
      </c>
      <c r="D105" s="706" t="s">
        <v>1913</v>
      </c>
      <c r="E105" s="706">
        <v>15</v>
      </c>
      <c r="F105" s="706" t="s">
        <v>1904</v>
      </c>
      <c r="G105" s="706"/>
      <c r="H105" s="706">
        <v>2020</v>
      </c>
      <c r="I105" s="706" t="s">
        <v>1945</v>
      </c>
      <c r="K105" s="755" t="s">
        <v>31</v>
      </c>
      <c r="L105" s="755"/>
      <c r="N105" s="764"/>
      <c r="O105" s="765"/>
      <c r="P105" s="521"/>
      <c r="Q105" s="772"/>
      <c r="R105" s="765"/>
      <c r="S105" s="756"/>
      <c r="T105" s="755"/>
      <c r="U105" s="755"/>
    </row>
    <row r="106" spans="1:22" s="534" customFormat="1" x14ac:dyDescent="0.25">
      <c r="A106" s="534" t="str">
        <f t="shared" si="2"/>
        <v>India-5</v>
      </c>
      <c r="B106" s="8" t="str">
        <f>HYPERLINK('High impact policies'!B210)</f>
        <v>5</v>
      </c>
      <c r="C106" s="385" t="s">
        <v>4</v>
      </c>
      <c r="D106" s="385" t="s">
        <v>1993</v>
      </c>
      <c r="E106" s="385">
        <v>820</v>
      </c>
      <c r="F106" s="385" t="s">
        <v>1936</v>
      </c>
      <c r="G106" s="385">
        <v>2016</v>
      </c>
      <c r="H106" s="385"/>
      <c r="I106" s="385" t="s">
        <v>337</v>
      </c>
      <c r="J106" s="534" t="s">
        <v>1994</v>
      </c>
      <c r="K106" s="756" t="s">
        <v>31</v>
      </c>
      <c r="L106" s="756"/>
      <c r="M106" s="385"/>
      <c r="N106" s="764"/>
      <c r="O106" s="765"/>
      <c r="P106" s="521"/>
      <c r="Q106" s="772"/>
      <c r="R106" s="765"/>
      <c r="S106" s="756"/>
      <c r="T106" s="755"/>
      <c r="U106" s="755"/>
    </row>
    <row r="107" spans="1:22" s="534" customFormat="1" x14ac:dyDescent="0.25">
      <c r="A107" s="534" t="str">
        <f t="shared" si="2"/>
        <v>India-3a</v>
      </c>
      <c r="B107" s="8" t="str">
        <f>HYPERLINK('High impact policies'!B200)</f>
        <v>3a</v>
      </c>
      <c r="C107" s="385" t="s">
        <v>4</v>
      </c>
      <c r="D107" s="385" t="s">
        <v>2069</v>
      </c>
      <c r="E107" s="385">
        <v>-140</v>
      </c>
      <c r="F107" s="385" t="s">
        <v>1996</v>
      </c>
      <c r="G107" s="385" t="s">
        <v>1943</v>
      </c>
      <c r="H107" s="385">
        <v>2015</v>
      </c>
      <c r="I107" s="385" t="s">
        <v>337</v>
      </c>
      <c r="J107" s="385" t="s">
        <v>2279</v>
      </c>
      <c r="K107" s="756" t="s">
        <v>31</v>
      </c>
      <c r="L107" s="756"/>
      <c r="M107" s="385"/>
      <c r="N107" s="764"/>
      <c r="O107" s="765"/>
      <c r="P107" s="521"/>
      <c r="Q107" s="772"/>
      <c r="R107" s="765"/>
      <c r="S107" s="755"/>
      <c r="T107" s="755"/>
      <c r="U107" s="755"/>
    </row>
    <row r="108" spans="1:22" s="534" customFormat="1" x14ac:dyDescent="0.25">
      <c r="A108" s="534" t="str">
        <f>C108&amp;"-"&amp;B109</f>
        <v>India-3b</v>
      </c>
      <c r="B108" s="534" t="str">
        <f>$B$107</f>
        <v>3a</v>
      </c>
      <c r="C108" s="706" t="s">
        <v>4</v>
      </c>
      <c r="D108" s="706" t="s">
        <v>2069</v>
      </c>
      <c r="E108" s="385">
        <v>-12.54</v>
      </c>
      <c r="F108" s="706" t="s">
        <v>1917</v>
      </c>
      <c r="G108" s="706" t="s">
        <v>1943</v>
      </c>
      <c r="H108" s="706">
        <v>2015</v>
      </c>
      <c r="I108" s="706" t="s">
        <v>1945</v>
      </c>
      <c r="J108" s="706" t="s">
        <v>2281</v>
      </c>
      <c r="K108" s="756" t="s">
        <v>31</v>
      </c>
      <c r="L108" s="756"/>
      <c r="M108" s="385"/>
      <c r="N108" s="764"/>
      <c r="O108" s="765"/>
      <c r="P108" s="521"/>
      <c r="Q108" s="772"/>
      <c r="R108" s="765"/>
      <c r="S108" s="755"/>
      <c r="T108" s="755"/>
      <c r="U108" s="755"/>
    </row>
    <row r="109" spans="1:22" s="534" customFormat="1" x14ac:dyDescent="0.25">
      <c r="A109" s="534" t="str">
        <f>C109&amp;"-"&amp;B110</f>
        <v>India-3b</v>
      </c>
      <c r="B109" s="8" t="str">
        <f>HYPERLINK('High impact policies'!B201)</f>
        <v>3b</v>
      </c>
      <c r="C109" s="385" t="s">
        <v>4</v>
      </c>
      <c r="D109" s="385" t="s">
        <v>2069</v>
      </c>
      <c r="E109" s="385">
        <v>-185</v>
      </c>
      <c r="F109" s="385" t="s">
        <v>1996</v>
      </c>
      <c r="G109" s="385" t="s">
        <v>1943</v>
      </c>
      <c r="H109" s="385">
        <v>2019</v>
      </c>
      <c r="I109" s="385" t="s">
        <v>337</v>
      </c>
      <c r="J109" s="385" t="s">
        <v>2280</v>
      </c>
      <c r="K109" s="756" t="s">
        <v>32</v>
      </c>
      <c r="L109" s="756" t="s">
        <v>32</v>
      </c>
      <c r="M109" s="23" t="s">
        <v>32</v>
      </c>
      <c r="N109" s="768">
        <v>10.67958984375</v>
      </c>
      <c r="O109" s="769">
        <v>10.486330078125</v>
      </c>
      <c r="P109" s="770">
        <v>-1.8096178640989696E-2</v>
      </c>
      <c r="Q109" s="771">
        <v>-0.19325976562499925</v>
      </c>
      <c r="R109" s="769">
        <v>-6.9189988744299047E-2</v>
      </c>
      <c r="S109" s="755">
        <v>2020</v>
      </c>
      <c r="T109" s="755" t="s">
        <v>2180</v>
      </c>
      <c r="U109" s="755" t="s">
        <v>2181</v>
      </c>
    </row>
    <row r="110" spans="1:22" s="534" customFormat="1" x14ac:dyDescent="0.25">
      <c r="A110" s="534" t="str">
        <f t="shared" si="2"/>
        <v>India-3b</v>
      </c>
      <c r="B110" s="534" t="str">
        <f>$B$109</f>
        <v>3b</v>
      </c>
      <c r="C110" s="706" t="s">
        <v>4</v>
      </c>
      <c r="D110" s="706" t="s">
        <v>2069</v>
      </c>
      <c r="E110" s="385">
        <v>-16.61</v>
      </c>
      <c r="F110" s="706" t="s">
        <v>1917</v>
      </c>
      <c r="G110" s="706" t="s">
        <v>1943</v>
      </c>
      <c r="H110" s="706">
        <v>2019</v>
      </c>
      <c r="I110" s="706" t="s">
        <v>1945</v>
      </c>
      <c r="J110" s="706" t="s">
        <v>2282</v>
      </c>
      <c r="K110" s="756" t="s">
        <v>32</v>
      </c>
      <c r="L110" s="756" t="s">
        <v>685</v>
      </c>
      <c r="M110" s="385" t="s">
        <v>685</v>
      </c>
      <c r="N110" s="764">
        <v>10.67958984375</v>
      </c>
      <c r="O110" s="765">
        <v>10.486330078125</v>
      </c>
      <c r="P110" s="106">
        <v>-1.8096178640989696E-2</v>
      </c>
      <c r="Q110" s="772">
        <v>-0.19325976562499925</v>
      </c>
      <c r="R110" s="765">
        <v>-6.9189988744299047E-2</v>
      </c>
      <c r="S110" s="755">
        <v>2020</v>
      </c>
      <c r="T110" s="755" t="s">
        <v>2180</v>
      </c>
      <c r="U110" s="755" t="s">
        <v>2181</v>
      </c>
    </row>
    <row r="111" spans="1:22" s="534" customFormat="1" x14ac:dyDescent="0.25">
      <c r="A111" s="534" t="str">
        <f t="shared" si="2"/>
        <v>India-7e</v>
      </c>
      <c r="B111" s="8" t="str">
        <f>HYPERLINK('High impact policies'!B196)</f>
        <v>7e</v>
      </c>
      <c r="C111" s="385" t="s">
        <v>4</v>
      </c>
      <c r="D111" s="385" t="s">
        <v>1931</v>
      </c>
      <c r="E111" s="385">
        <v>4.2</v>
      </c>
      <c r="F111" s="385" t="s">
        <v>1904</v>
      </c>
      <c r="G111" s="385"/>
      <c r="H111" s="385">
        <v>2017</v>
      </c>
      <c r="I111" s="385" t="s">
        <v>337</v>
      </c>
      <c r="K111" s="756" t="s">
        <v>32</v>
      </c>
      <c r="L111" s="756" t="s">
        <v>685</v>
      </c>
      <c r="M111" s="385" t="s">
        <v>685</v>
      </c>
      <c r="N111" s="764">
        <v>4.3419120788574218E-2</v>
      </c>
      <c r="O111" s="765">
        <v>0.114768798828125</v>
      </c>
      <c r="P111" s="106">
        <v>1.6432778173234339</v>
      </c>
      <c r="Q111" s="772">
        <v>7.1349678039550779E-2</v>
      </c>
      <c r="R111" s="765">
        <v>2.5544289596444024E-2</v>
      </c>
      <c r="S111" s="755">
        <v>2020</v>
      </c>
      <c r="T111" s="755" t="s">
        <v>2180</v>
      </c>
      <c r="U111" s="755" t="s">
        <v>2162</v>
      </c>
    </row>
    <row r="112" spans="1:22" s="534" customFormat="1" x14ac:dyDescent="0.25">
      <c r="A112" s="534" t="str">
        <f t="shared" si="2"/>
        <v>India-7a</v>
      </c>
      <c r="B112" s="8" t="str">
        <f>HYPERLINK('High impact policies'!B192)</f>
        <v>7a</v>
      </c>
      <c r="C112" s="385" t="s">
        <v>4</v>
      </c>
      <c r="D112" s="385" t="s">
        <v>1932</v>
      </c>
      <c r="E112" s="385">
        <v>2</v>
      </c>
      <c r="F112" s="385" t="s">
        <v>1904</v>
      </c>
      <c r="G112" s="385"/>
      <c r="H112" s="385">
        <v>2017</v>
      </c>
      <c r="I112" s="385" t="s">
        <v>337</v>
      </c>
      <c r="K112" s="756" t="s">
        <v>32</v>
      </c>
      <c r="L112" s="756" t="s">
        <v>685</v>
      </c>
      <c r="M112" s="385" t="s">
        <v>685</v>
      </c>
      <c r="N112" s="764">
        <v>4.3419120788574218E-2</v>
      </c>
      <c r="O112" s="765">
        <v>0.114768798828125</v>
      </c>
      <c r="P112" s="106">
        <v>1.6432778173234339</v>
      </c>
      <c r="Q112" s="772">
        <v>7.1349678039550779E-2</v>
      </c>
      <c r="R112" s="765">
        <v>2.5544289596444024E-2</v>
      </c>
      <c r="S112" s="755">
        <v>2020</v>
      </c>
      <c r="T112" s="755" t="s">
        <v>2180</v>
      </c>
      <c r="U112" s="755" t="s">
        <v>2162</v>
      </c>
    </row>
    <row r="113" spans="1:21" s="534" customFormat="1" x14ac:dyDescent="0.25">
      <c r="A113" s="534" t="str">
        <f t="shared" si="2"/>
        <v>India-7c</v>
      </c>
      <c r="B113" s="8" t="str">
        <f>HYPERLINK('High impact policies'!B194)</f>
        <v>7c</v>
      </c>
      <c r="C113" s="385" t="s">
        <v>4</v>
      </c>
      <c r="D113" s="385" t="s">
        <v>1933</v>
      </c>
      <c r="E113" s="385">
        <v>5</v>
      </c>
      <c r="F113" s="385" t="s">
        <v>1904</v>
      </c>
      <c r="G113" s="385"/>
      <c r="H113" s="385">
        <v>2017</v>
      </c>
      <c r="I113" s="385" t="s">
        <v>337</v>
      </c>
      <c r="K113" s="756" t="s">
        <v>32</v>
      </c>
      <c r="L113" s="756" t="s">
        <v>32</v>
      </c>
      <c r="M113" s="385" t="s">
        <v>2161</v>
      </c>
      <c r="N113" s="764">
        <v>4.3419120788574218E-2</v>
      </c>
      <c r="O113" s="765">
        <v>0.114768798828125</v>
      </c>
      <c r="P113" s="106">
        <v>1.6432778173234339</v>
      </c>
      <c r="Q113" s="784">
        <v>7.1349678039550779E-2</v>
      </c>
      <c r="R113" s="765">
        <v>2.5544289596444024E-2</v>
      </c>
      <c r="S113" s="755">
        <v>2020</v>
      </c>
      <c r="T113" s="755" t="s">
        <v>2180</v>
      </c>
      <c r="U113" s="755" t="s">
        <v>2162</v>
      </c>
    </row>
    <row r="114" spans="1:21" s="534" customFormat="1" x14ac:dyDescent="0.25">
      <c r="A114" s="534" t="str">
        <f t="shared" si="2"/>
        <v>India-5a</v>
      </c>
      <c r="B114" s="8" t="str">
        <f>HYPERLINK('High impact policies'!B202)</f>
        <v>5a</v>
      </c>
      <c r="C114" s="385" t="s">
        <v>4</v>
      </c>
      <c r="D114" s="385" t="s">
        <v>2284</v>
      </c>
      <c r="E114" s="385">
        <v>15</v>
      </c>
      <c r="F114" s="385" t="s">
        <v>1904</v>
      </c>
      <c r="G114" s="385"/>
      <c r="H114" s="385">
        <v>2020</v>
      </c>
      <c r="I114" s="385" t="s">
        <v>337</v>
      </c>
      <c r="J114" s="385" t="s">
        <v>2198</v>
      </c>
      <c r="K114" s="756" t="s">
        <v>32</v>
      </c>
      <c r="L114" s="756" t="s">
        <v>32</v>
      </c>
      <c r="M114" s="790" t="s">
        <v>493</v>
      </c>
      <c r="N114" s="764">
        <v>0.1612570037841797</v>
      </c>
      <c r="O114" s="765">
        <v>0.1466112060546875</v>
      </c>
      <c r="P114" s="106">
        <v>-9.0822707763401012E-2</v>
      </c>
      <c r="Q114" s="772">
        <v>-1.4645797729492205E-2</v>
      </c>
      <c r="R114" s="765">
        <v>-5.2434223790850162E-3</v>
      </c>
      <c r="S114" s="755">
        <v>2020</v>
      </c>
      <c r="T114" s="755" t="s">
        <v>2180</v>
      </c>
      <c r="U114" s="755" t="s">
        <v>2177</v>
      </c>
    </row>
    <row r="115" spans="1:21" s="534" customFormat="1" x14ac:dyDescent="0.25">
      <c r="A115" s="534" t="str">
        <f t="shared" si="2"/>
        <v>India-6a</v>
      </c>
      <c r="B115" s="8" t="str">
        <f>HYPERLINK('High impact policies'!B211)</f>
        <v>6a</v>
      </c>
      <c r="C115" s="385" t="s">
        <v>4</v>
      </c>
      <c r="D115" s="385" t="s">
        <v>2278</v>
      </c>
      <c r="E115" s="385">
        <v>1.3</v>
      </c>
      <c r="F115" s="385" t="s">
        <v>1413</v>
      </c>
      <c r="G115" s="385">
        <v>2017</v>
      </c>
      <c r="H115" s="385"/>
      <c r="I115" s="385" t="s">
        <v>337</v>
      </c>
      <c r="J115" s="385" t="s">
        <v>2149</v>
      </c>
      <c r="K115" s="756" t="s">
        <v>32</v>
      </c>
      <c r="L115" s="756" t="s">
        <v>32</v>
      </c>
      <c r="M115" s="23" t="s">
        <v>32</v>
      </c>
      <c r="N115" s="768">
        <v>3.166468096</v>
      </c>
      <c r="O115" s="769">
        <v>2.4500000000000002</v>
      </c>
      <c r="P115" s="770">
        <v>-0.22626727138197569</v>
      </c>
      <c r="Q115" s="771">
        <v>0.71646809599999983</v>
      </c>
      <c r="R115" s="769">
        <v>-0.29169973491850926</v>
      </c>
      <c r="S115" s="755">
        <v>2020</v>
      </c>
      <c r="T115" s="755" t="s">
        <v>2180</v>
      </c>
      <c r="U115" s="755" t="s">
        <v>2170</v>
      </c>
    </row>
    <row r="116" spans="1:21" s="534" customFormat="1" x14ac:dyDescent="0.25">
      <c r="A116" s="534" t="str">
        <f t="shared" si="2"/>
        <v>India-6a</v>
      </c>
      <c r="B116" t="str">
        <f>$B$115</f>
        <v>6a</v>
      </c>
      <c r="C116" s="706" t="s">
        <v>4</v>
      </c>
      <c r="D116" s="706" t="s">
        <v>2278</v>
      </c>
      <c r="E116" s="706">
        <v>130</v>
      </c>
      <c r="F116" s="706" t="s">
        <v>389</v>
      </c>
      <c r="G116" s="706">
        <v>2017</v>
      </c>
      <c r="H116" s="706"/>
      <c r="I116" s="706" t="s">
        <v>1945</v>
      </c>
      <c r="J116" s="706" t="s">
        <v>2149</v>
      </c>
      <c r="K116" s="756" t="s">
        <v>32</v>
      </c>
      <c r="L116" s="756" t="s">
        <v>32</v>
      </c>
      <c r="M116" s="23" t="s">
        <v>32</v>
      </c>
      <c r="N116" s="768">
        <v>3.166468096</v>
      </c>
      <c r="O116" s="769">
        <v>2.4500000000000002</v>
      </c>
      <c r="P116" s="770">
        <v>-0.22626727138197569</v>
      </c>
      <c r="Q116" s="771">
        <v>0.71646809599999983</v>
      </c>
      <c r="R116" s="769">
        <v>-0.29169973491850926</v>
      </c>
      <c r="S116" s="755">
        <v>2020</v>
      </c>
      <c r="T116" s="755" t="s">
        <v>2180</v>
      </c>
      <c r="U116" s="755" t="s">
        <v>2170</v>
      </c>
    </row>
    <row r="117" spans="1:21" s="534" customFormat="1" x14ac:dyDescent="0.25">
      <c r="A117" s="534" t="str">
        <f t="shared" si="2"/>
        <v>India-6b</v>
      </c>
      <c r="B117" s="8" t="str">
        <f>HYPERLINK('High impact policies'!B212)</f>
        <v>6b</v>
      </c>
      <c r="C117" s="385" t="s">
        <v>4</v>
      </c>
      <c r="D117" s="385" t="s">
        <v>2278</v>
      </c>
      <c r="E117" s="385">
        <v>0.9</v>
      </c>
      <c r="F117" s="385" t="s">
        <v>1413</v>
      </c>
      <c r="G117" s="385"/>
      <c r="H117" s="385">
        <v>2022</v>
      </c>
      <c r="I117" s="385" t="s">
        <v>337</v>
      </c>
      <c r="J117" s="385" t="s">
        <v>2149</v>
      </c>
      <c r="K117" s="756" t="s">
        <v>32</v>
      </c>
      <c r="L117" s="756" t="s">
        <v>32</v>
      </c>
      <c r="M117" s="23" t="s">
        <v>32</v>
      </c>
      <c r="N117" s="768">
        <v>3.166468096</v>
      </c>
      <c r="O117" s="769">
        <v>2.4500000000000002</v>
      </c>
      <c r="P117" s="770">
        <v>-0.22626727138197569</v>
      </c>
      <c r="Q117" s="771">
        <v>0.71646809599999983</v>
      </c>
      <c r="R117" s="769">
        <v>-0.29169973491850926</v>
      </c>
      <c r="S117" s="755">
        <v>2020</v>
      </c>
      <c r="T117" s="755" t="s">
        <v>2180</v>
      </c>
      <c r="U117" s="755" t="s">
        <v>2170</v>
      </c>
    </row>
    <row r="118" spans="1:21" s="534" customFormat="1" x14ac:dyDescent="0.25">
      <c r="A118" s="534" t="str">
        <f t="shared" si="2"/>
        <v>India-6b</v>
      </c>
      <c r="B118" s="534" t="str">
        <f>$B$117</f>
        <v>6b</v>
      </c>
      <c r="C118" s="706" t="s">
        <v>4</v>
      </c>
      <c r="D118" s="706" t="s">
        <v>2278</v>
      </c>
      <c r="E118" s="706">
        <v>113</v>
      </c>
      <c r="F118" s="706" t="s">
        <v>389</v>
      </c>
      <c r="G118" s="706"/>
      <c r="H118" s="706">
        <v>2022</v>
      </c>
      <c r="I118" s="706" t="s">
        <v>1945</v>
      </c>
      <c r="J118" s="706" t="s">
        <v>2149</v>
      </c>
      <c r="K118" s="756" t="s">
        <v>32</v>
      </c>
      <c r="L118" s="756" t="s">
        <v>32</v>
      </c>
      <c r="M118" s="23" t="s">
        <v>32</v>
      </c>
      <c r="N118" s="768">
        <v>3.166468096</v>
      </c>
      <c r="O118" s="769">
        <v>2.4500000000000002</v>
      </c>
      <c r="P118" s="770">
        <v>-0.22626727138197569</v>
      </c>
      <c r="Q118" s="771">
        <v>0.71646809599999983</v>
      </c>
      <c r="R118" s="769">
        <v>-0.29169973491850926</v>
      </c>
      <c r="S118" s="755">
        <v>2020</v>
      </c>
      <c r="T118" s="755" t="s">
        <v>2180</v>
      </c>
      <c r="U118" s="755" t="s">
        <v>2170</v>
      </c>
    </row>
    <row r="119" spans="1:21" s="534" customFormat="1" x14ac:dyDescent="0.25">
      <c r="A119" s="534" t="str">
        <f t="shared" si="2"/>
        <v>India-9</v>
      </c>
      <c r="B119" s="8" t="str">
        <f>HYPERLINK('High impact policies'!B218)</f>
        <v>9</v>
      </c>
      <c r="C119" s="385" t="s">
        <v>4</v>
      </c>
      <c r="D119" s="385" t="s">
        <v>1997</v>
      </c>
      <c r="E119" s="702">
        <v>5000000</v>
      </c>
      <c r="F119" s="385" t="s">
        <v>1907</v>
      </c>
      <c r="G119" s="385">
        <v>2005</v>
      </c>
      <c r="H119" s="385">
        <v>2030</v>
      </c>
      <c r="I119" s="385" t="s">
        <v>337</v>
      </c>
      <c r="K119" s="755" t="s">
        <v>2163</v>
      </c>
      <c r="L119" s="755"/>
      <c r="N119" s="764"/>
      <c r="O119" s="765"/>
      <c r="P119" s="521"/>
      <c r="Q119" s="772"/>
      <c r="R119" s="765"/>
      <c r="S119" s="755"/>
      <c r="T119" s="755"/>
      <c r="U119" s="755"/>
    </row>
    <row r="120" spans="1:21" s="534" customFormat="1" x14ac:dyDescent="0.25">
      <c r="A120" s="534" t="str">
        <f t="shared" si="2"/>
        <v>India-9</v>
      </c>
      <c r="B120" s="534" t="str">
        <f>$B$119</f>
        <v>9</v>
      </c>
      <c r="C120" s="706" t="s">
        <v>4</v>
      </c>
      <c r="D120" s="706" t="s">
        <v>1998</v>
      </c>
      <c r="E120" s="706">
        <v>-13</v>
      </c>
      <c r="F120" s="706" t="s">
        <v>1917</v>
      </c>
      <c r="G120" s="706">
        <v>2005</v>
      </c>
      <c r="H120" s="706">
        <v>2030</v>
      </c>
      <c r="I120" s="706" t="s">
        <v>1945</v>
      </c>
      <c r="K120" s="755" t="s">
        <v>2163</v>
      </c>
      <c r="L120" s="755"/>
      <c r="N120" s="764"/>
      <c r="O120" s="765"/>
      <c r="P120" s="521"/>
      <c r="Q120" s="772"/>
      <c r="R120" s="765"/>
      <c r="S120" s="755"/>
      <c r="T120" s="755"/>
      <c r="U120" s="755"/>
    </row>
    <row r="121" spans="1:21" s="738" customFormat="1" x14ac:dyDescent="0.25">
      <c r="A121" s="534" t="str">
        <f t="shared" si="2"/>
        <v>India-7d</v>
      </c>
      <c r="B121" s="8" t="str">
        <f>HYPERLINK('High impact policies'!B195)</f>
        <v>7d</v>
      </c>
      <c r="C121" s="738" t="s">
        <v>4</v>
      </c>
      <c r="D121" s="738" t="s">
        <v>2132</v>
      </c>
      <c r="E121" s="738">
        <v>20</v>
      </c>
      <c r="F121" s="738" t="s">
        <v>1904</v>
      </c>
      <c r="H121" s="738">
        <v>2017</v>
      </c>
      <c r="I121" s="738" t="s">
        <v>784</v>
      </c>
      <c r="K121" s="385" t="s">
        <v>32</v>
      </c>
      <c r="L121" s="385" t="s">
        <v>685</v>
      </c>
      <c r="M121" s="534"/>
      <c r="N121" s="764"/>
      <c r="O121" s="765"/>
      <c r="P121" s="521"/>
      <c r="Q121" s="772"/>
      <c r="R121" s="765"/>
    </row>
    <row r="122" spans="1:21" s="738" customFormat="1" x14ac:dyDescent="0.25">
      <c r="A122" s="534" t="str">
        <f t="shared" si="2"/>
        <v>India-3d</v>
      </c>
      <c r="B122" s="8" t="str">
        <f>HYPERLINK('High impact policies'!B217)</f>
        <v>3d</v>
      </c>
      <c r="C122" s="738" t="s">
        <v>4</v>
      </c>
      <c r="D122" s="738" t="s">
        <v>2134</v>
      </c>
      <c r="E122" s="738">
        <v>10</v>
      </c>
      <c r="F122" s="738" t="s">
        <v>1883</v>
      </c>
      <c r="H122" s="738">
        <v>2022</v>
      </c>
      <c r="I122" s="738" t="s">
        <v>784</v>
      </c>
      <c r="K122" s="385" t="s">
        <v>32</v>
      </c>
      <c r="L122" s="385" t="s">
        <v>685</v>
      </c>
      <c r="M122" s="534"/>
      <c r="N122" s="764"/>
      <c r="O122" s="765"/>
      <c r="P122" s="521"/>
      <c r="Q122" s="772"/>
      <c r="R122" s="765"/>
    </row>
    <row r="123" spans="1:21" s="738" customFormat="1" x14ac:dyDescent="0.25">
      <c r="A123" s="534" t="str">
        <f t="shared" si="2"/>
        <v>India-3d</v>
      </c>
      <c r="B123" s="8" t="str">
        <f>HYPERLINK('High impact policies'!B217)</f>
        <v>3d</v>
      </c>
      <c r="C123" s="738" t="s">
        <v>4</v>
      </c>
      <c r="D123" s="738" t="s">
        <v>2133</v>
      </c>
      <c r="E123" s="738">
        <v>5</v>
      </c>
      <c r="F123" s="738" t="s">
        <v>1883</v>
      </c>
      <c r="H123" s="738">
        <v>2022</v>
      </c>
      <c r="I123" s="738" t="s">
        <v>784</v>
      </c>
      <c r="K123" s="385" t="s">
        <v>32</v>
      </c>
      <c r="L123" s="385" t="s">
        <v>685</v>
      </c>
      <c r="M123" s="534"/>
      <c r="N123" s="764"/>
      <c r="O123" s="765"/>
      <c r="P123" s="521"/>
      <c r="Q123" s="772"/>
      <c r="R123" s="765"/>
    </row>
    <row r="124" spans="1:21" s="738" customFormat="1" x14ac:dyDescent="0.25">
      <c r="A124" s="534" t="str">
        <f t="shared" si="2"/>
        <v>India-1b</v>
      </c>
      <c r="B124" s="8" t="str">
        <f>HYPERLINK('High impact policies'!B215)</f>
        <v>1b</v>
      </c>
      <c r="C124" s="738" t="s">
        <v>4</v>
      </c>
      <c r="D124" s="738" t="s">
        <v>2137</v>
      </c>
      <c r="E124" s="738">
        <v>100</v>
      </c>
      <c r="F124" s="738" t="s">
        <v>1883</v>
      </c>
      <c r="H124" s="738">
        <v>2022</v>
      </c>
      <c r="I124" s="738" t="s">
        <v>784</v>
      </c>
      <c r="K124" s="385" t="s">
        <v>32</v>
      </c>
      <c r="L124" s="385" t="s">
        <v>685</v>
      </c>
      <c r="M124" s="534"/>
      <c r="N124" s="764"/>
      <c r="O124" s="765"/>
      <c r="P124" s="521"/>
      <c r="Q124" s="772"/>
      <c r="R124" s="765"/>
    </row>
    <row r="125" spans="1:21" s="738" customFormat="1" x14ac:dyDescent="0.25">
      <c r="A125" s="534" t="str">
        <f t="shared" si="2"/>
        <v>India-3b</v>
      </c>
      <c r="B125" s="8" t="str">
        <f>HYPERLINK('High impact policies'!B216)</f>
        <v>3b</v>
      </c>
      <c r="C125" s="738" t="s">
        <v>4</v>
      </c>
      <c r="D125" s="738" t="s">
        <v>2138</v>
      </c>
      <c r="E125" s="738">
        <v>60</v>
      </c>
      <c r="F125" s="738" t="s">
        <v>1883</v>
      </c>
      <c r="H125" s="738">
        <v>2022</v>
      </c>
      <c r="I125" s="738" t="s">
        <v>784</v>
      </c>
      <c r="K125" s="385" t="s">
        <v>32</v>
      </c>
      <c r="L125" s="385" t="s">
        <v>685</v>
      </c>
      <c r="M125" s="534"/>
      <c r="N125" s="764"/>
      <c r="O125" s="765"/>
      <c r="P125" s="521"/>
      <c r="Q125" s="772"/>
      <c r="R125" s="765"/>
    </row>
    <row r="126" spans="1:21" s="534" customFormat="1" x14ac:dyDescent="0.25">
      <c r="A126" s="534" t="str">
        <f t="shared" si="2"/>
        <v>Indonesia-4b</v>
      </c>
      <c r="B126" s="8" t="str">
        <f>HYPERLINK('High impact policies'!B238)</f>
        <v>4b</v>
      </c>
      <c r="C126" s="385" t="s">
        <v>6</v>
      </c>
      <c r="D126" s="385" t="s">
        <v>1039</v>
      </c>
      <c r="E126" s="385">
        <v>99.7</v>
      </c>
      <c r="F126" s="385" t="s">
        <v>1904</v>
      </c>
      <c r="G126" s="385"/>
      <c r="H126" s="385">
        <v>2025</v>
      </c>
      <c r="I126" s="385" t="s">
        <v>337</v>
      </c>
      <c r="K126" s="756" t="s">
        <v>32</v>
      </c>
      <c r="L126" s="756" t="s">
        <v>32</v>
      </c>
      <c r="M126" s="385" t="s">
        <v>32</v>
      </c>
      <c r="N126" s="768">
        <v>1.9969620480000001</v>
      </c>
      <c r="O126" s="769">
        <v>2.006461056</v>
      </c>
      <c r="P126" s="770">
        <v>4.7567293577328515E-3</v>
      </c>
      <c r="Q126" s="771">
        <v>9.49900799999992E-3</v>
      </c>
      <c r="R126" s="769">
        <v>7.7124690395844343E-3</v>
      </c>
      <c r="S126" s="755">
        <v>2025</v>
      </c>
      <c r="T126" s="755" t="s">
        <v>2182</v>
      </c>
      <c r="U126" s="755" t="s">
        <v>2183</v>
      </c>
    </row>
    <row r="127" spans="1:21" s="534" customFormat="1" x14ac:dyDescent="0.25">
      <c r="A127" s="534" t="str">
        <f t="shared" si="2"/>
        <v>Indonesia-2c</v>
      </c>
      <c r="B127" s="8" t="str">
        <f>HYPERLINK('High impact policies'!B237)</f>
        <v>2c</v>
      </c>
      <c r="C127" s="385" t="s">
        <v>6</v>
      </c>
      <c r="D127" s="385" t="s">
        <v>1999</v>
      </c>
      <c r="E127" s="385">
        <v>0</v>
      </c>
      <c r="F127" s="385" t="s">
        <v>1904</v>
      </c>
      <c r="G127" s="385"/>
      <c r="H127" s="385">
        <v>2025</v>
      </c>
      <c r="I127" s="385" t="s">
        <v>337</v>
      </c>
      <c r="K127" s="756" t="s">
        <v>31</v>
      </c>
      <c r="L127" s="756"/>
      <c r="M127" s="385"/>
      <c r="N127" s="764"/>
      <c r="O127" s="765"/>
      <c r="P127" s="521"/>
      <c r="Q127" s="772"/>
      <c r="R127" s="765"/>
      <c r="S127" s="755"/>
      <c r="T127" s="755"/>
      <c r="U127" s="755"/>
    </row>
    <row r="128" spans="1:21" s="534" customFormat="1" x14ac:dyDescent="0.25">
      <c r="A128" s="534" t="str">
        <f t="shared" si="2"/>
        <v>Indonesia-3</v>
      </c>
      <c r="B128" s="8" t="str">
        <f>HYPERLINK('High impact policies'!B225)</f>
        <v>3</v>
      </c>
      <c r="C128" s="385" t="s">
        <v>6</v>
      </c>
      <c r="D128" s="385" t="s">
        <v>2000</v>
      </c>
      <c r="E128" s="385">
        <v>25</v>
      </c>
      <c r="F128" s="385" t="s">
        <v>1904</v>
      </c>
      <c r="G128" s="385"/>
      <c r="H128" s="385">
        <v>2025</v>
      </c>
      <c r="I128" s="385" t="s">
        <v>337</v>
      </c>
      <c r="K128" s="756" t="s">
        <v>31</v>
      </c>
      <c r="L128" s="756"/>
      <c r="M128" s="385"/>
      <c r="N128" s="764"/>
      <c r="O128" s="765"/>
      <c r="P128" s="521"/>
      <c r="Q128" s="772"/>
      <c r="R128" s="765"/>
      <c r="S128" s="755"/>
      <c r="T128" s="755"/>
      <c r="U128" s="755"/>
    </row>
    <row r="129" spans="1:21" s="534" customFormat="1" x14ac:dyDescent="0.25">
      <c r="A129" s="534" t="str">
        <f t="shared" si="2"/>
        <v>Indonesia-4a</v>
      </c>
      <c r="B129" s="8" t="str">
        <f>HYPERLINK('High impact policies'!B226)</f>
        <v>4a</v>
      </c>
      <c r="C129" s="385" t="s">
        <v>6</v>
      </c>
      <c r="D129" s="385" t="s">
        <v>2001</v>
      </c>
      <c r="E129" s="385">
        <v>2</v>
      </c>
      <c r="F129" s="385" t="s">
        <v>1883</v>
      </c>
      <c r="G129" s="385"/>
      <c r="H129" s="385">
        <v>2019</v>
      </c>
      <c r="I129" s="385" t="s">
        <v>337</v>
      </c>
      <c r="J129" s="534" t="s">
        <v>2005</v>
      </c>
      <c r="K129" s="756" t="s">
        <v>32</v>
      </c>
      <c r="L129" s="756" t="s">
        <v>32</v>
      </c>
      <c r="M129" s="385" t="s">
        <v>32</v>
      </c>
      <c r="N129" s="768">
        <v>7.6239472000000003E-2</v>
      </c>
      <c r="O129" s="769">
        <v>8.4247984000000012E-2</v>
      </c>
      <c r="P129" s="770">
        <v>0.10504416924608304</v>
      </c>
      <c r="Q129" s="771">
        <v>8.0085120000000093E-3</v>
      </c>
      <c r="R129" s="769">
        <v>9.2578978080516058E-3</v>
      </c>
      <c r="S129" s="755">
        <v>2020</v>
      </c>
      <c r="T129" s="755" t="s">
        <v>2182</v>
      </c>
      <c r="U129" s="755" t="s">
        <v>2166</v>
      </c>
    </row>
    <row r="130" spans="1:21" s="534" customFormat="1" x14ac:dyDescent="0.25">
      <c r="A130" s="534" t="str">
        <f t="shared" si="2"/>
        <v>Indonesia-4b</v>
      </c>
      <c r="B130" s="8" t="str">
        <f>HYPERLINK('High impact policies'!B227)</f>
        <v>4b</v>
      </c>
      <c r="C130" s="385" t="s">
        <v>6</v>
      </c>
      <c r="D130" s="385" t="s">
        <v>2002</v>
      </c>
      <c r="E130" s="385">
        <v>0.7</v>
      </c>
      <c r="F130" s="385" t="s">
        <v>1883</v>
      </c>
      <c r="G130" s="385"/>
      <c r="H130" s="385">
        <v>2019</v>
      </c>
      <c r="I130" s="385" t="s">
        <v>337</v>
      </c>
      <c r="J130" s="534" t="s">
        <v>2004</v>
      </c>
      <c r="K130" s="756" t="s">
        <v>32</v>
      </c>
      <c r="L130" s="756" t="s">
        <v>32</v>
      </c>
      <c r="M130" s="385" t="s">
        <v>32</v>
      </c>
      <c r="N130" s="781" t="s">
        <v>685</v>
      </c>
      <c r="O130" s="765" t="s">
        <v>685</v>
      </c>
      <c r="P130" s="521" t="s">
        <v>685</v>
      </c>
      <c r="Q130" s="772" t="s">
        <v>685</v>
      </c>
      <c r="R130" s="765" t="s">
        <v>685</v>
      </c>
      <c r="S130" s="755"/>
      <c r="T130" s="755"/>
      <c r="U130" s="755"/>
    </row>
    <row r="131" spans="1:21" s="534" customFormat="1" x14ac:dyDescent="0.25">
      <c r="A131" s="534" t="str">
        <f t="shared" si="2"/>
        <v>Indonesia-4c</v>
      </c>
      <c r="B131" s="8" t="str">
        <f>HYPERLINK('High impact policies'!B228)</f>
        <v>4c</v>
      </c>
      <c r="C131" s="385" t="s">
        <v>6</v>
      </c>
      <c r="D131" s="385" t="s">
        <v>2003</v>
      </c>
      <c r="E131" s="385">
        <v>0.2</v>
      </c>
      <c r="F131" s="385" t="s">
        <v>1883</v>
      </c>
      <c r="G131" s="385"/>
      <c r="H131" s="385">
        <v>2019</v>
      </c>
      <c r="I131" s="385" t="s">
        <v>337</v>
      </c>
      <c r="J131" s="534" t="s">
        <v>2006</v>
      </c>
      <c r="K131" s="756" t="s">
        <v>32</v>
      </c>
      <c r="L131" s="756" t="s">
        <v>32</v>
      </c>
      <c r="M131" s="385" t="s">
        <v>32</v>
      </c>
      <c r="N131" s="768">
        <v>3.4260261E-2</v>
      </c>
      <c r="O131" s="769">
        <v>4.4632062E-2</v>
      </c>
      <c r="P131" s="779">
        <v>0.30273560963239587</v>
      </c>
      <c r="Q131" s="771">
        <v>1.0371801E-2</v>
      </c>
      <c r="R131" s="769">
        <v>1.1989876988814815E-2</v>
      </c>
      <c r="S131" s="755">
        <v>2020</v>
      </c>
      <c r="T131" s="755" t="s">
        <v>2182</v>
      </c>
      <c r="U131" s="755" t="s">
        <v>2184</v>
      </c>
    </row>
    <row r="132" spans="1:21" s="534" customFormat="1" x14ac:dyDescent="0.25">
      <c r="A132" s="534" t="str">
        <f t="shared" si="2"/>
        <v>Indonesia-6</v>
      </c>
      <c r="B132" s="8" t="str">
        <f>HYPERLINK('High impact policies'!B231)</f>
        <v>6</v>
      </c>
      <c r="C132" s="385" t="s">
        <v>6</v>
      </c>
      <c r="D132" s="385" t="s">
        <v>1931</v>
      </c>
      <c r="E132" s="385">
        <v>22.5</v>
      </c>
      <c r="F132" s="385" t="s">
        <v>1904</v>
      </c>
      <c r="G132" s="385"/>
      <c r="H132" s="385">
        <v>2025</v>
      </c>
      <c r="I132" s="385" t="s">
        <v>337</v>
      </c>
      <c r="K132" s="756" t="s">
        <v>32</v>
      </c>
      <c r="L132" s="756" t="s">
        <v>32</v>
      </c>
      <c r="M132" s="385" t="s">
        <v>32</v>
      </c>
      <c r="N132" s="768">
        <v>5.8459210395812985E-4</v>
      </c>
      <c r="O132" s="769">
        <v>0.15117390441894532</v>
      </c>
      <c r="P132" s="770">
        <v>257.59723967426834</v>
      </c>
      <c r="Q132" s="771">
        <v>0.15058931231498718</v>
      </c>
      <c r="R132" s="769">
        <v>0.12226702082171731</v>
      </c>
      <c r="S132" s="755">
        <v>2025</v>
      </c>
      <c r="T132" s="755" t="s">
        <v>2182</v>
      </c>
      <c r="U132" s="755" t="s">
        <v>2162</v>
      </c>
    </row>
    <row r="133" spans="1:21" s="534" customFormat="1" x14ac:dyDescent="0.25">
      <c r="A133" s="534" t="str">
        <f t="shared" si="2"/>
        <v>Indonesia-6b</v>
      </c>
      <c r="B133" s="8" t="str">
        <f>HYPERLINK('High impact policies'!B233)</f>
        <v>6b</v>
      </c>
      <c r="C133" s="385" t="s">
        <v>6</v>
      </c>
      <c r="D133" s="385" t="s">
        <v>1933</v>
      </c>
      <c r="E133" s="385">
        <v>25</v>
      </c>
      <c r="F133" s="385" t="s">
        <v>1904</v>
      </c>
      <c r="G133" s="385"/>
      <c r="H133" s="385">
        <v>2025</v>
      </c>
      <c r="I133" s="385" t="s">
        <v>337</v>
      </c>
      <c r="K133" s="756" t="s">
        <v>32</v>
      </c>
      <c r="L133" s="756" t="s">
        <v>32</v>
      </c>
      <c r="M133" s="385" t="s">
        <v>32</v>
      </c>
      <c r="N133" s="768">
        <v>5.8459210395812985E-4</v>
      </c>
      <c r="O133" s="769">
        <v>0.15117390441894532</v>
      </c>
      <c r="P133" s="770">
        <v>257.59723967426834</v>
      </c>
      <c r="Q133" s="771">
        <v>0.15058931231498718</v>
      </c>
      <c r="R133" s="769">
        <v>0.12226702082171731</v>
      </c>
      <c r="S133" s="755">
        <v>2025</v>
      </c>
      <c r="T133" s="755" t="s">
        <v>2182</v>
      </c>
      <c r="U133" s="755" t="s">
        <v>2162</v>
      </c>
    </row>
    <row r="134" spans="1:21" s="534" customFormat="1" x14ac:dyDescent="0.25">
      <c r="A134" s="534" t="str">
        <f t="shared" si="2"/>
        <v>Indonesia-6a</v>
      </c>
      <c r="B134" s="8" t="str">
        <f>HYPERLINK('High impact policies'!B232)</f>
        <v>6a</v>
      </c>
      <c r="C134" s="385" t="s">
        <v>6</v>
      </c>
      <c r="D134" s="385" t="s">
        <v>1932</v>
      </c>
      <c r="E134" s="385">
        <v>20</v>
      </c>
      <c r="F134" s="385" t="s">
        <v>1904</v>
      </c>
      <c r="G134" s="385"/>
      <c r="H134" s="385">
        <v>2025</v>
      </c>
      <c r="I134" s="385" t="s">
        <v>337</v>
      </c>
      <c r="K134" s="756" t="s">
        <v>32</v>
      </c>
      <c r="L134" s="756" t="s">
        <v>685</v>
      </c>
      <c r="M134" s="385" t="s">
        <v>685</v>
      </c>
      <c r="N134" s="764">
        <v>5.8459210395812985E-4</v>
      </c>
      <c r="O134" s="765">
        <v>0.15117390441894532</v>
      </c>
      <c r="P134" s="106">
        <v>257.59723967426834</v>
      </c>
      <c r="Q134" s="772">
        <v>0.15058931231498718</v>
      </c>
      <c r="R134" s="765">
        <v>0.12226702082171731</v>
      </c>
      <c r="S134" s="755">
        <v>2025</v>
      </c>
      <c r="T134" s="755" t="s">
        <v>2182</v>
      </c>
      <c r="U134" s="755" t="s">
        <v>2162</v>
      </c>
    </row>
    <row r="135" spans="1:21" s="534" customFormat="1" x14ac:dyDescent="0.25">
      <c r="A135" s="534" t="str">
        <f t="shared" si="2"/>
        <v>Indonesia-1</v>
      </c>
      <c r="B135" s="8" t="str">
        <f>HYPERLINK('High impact policies'!B235)</f>
        <v>1</v>
      </c>
      <c r="C135" s="385" t="s">
        <v>6</v>
      </c>
      <c r="D135" s="385" t="s">
        <v>2036</v>
      </c>
      <c r="E135" s="711" t="s">
        <v>2007</v>
      </c>
      <c r="F135" s="385" t="s">
        <v>2008</v>
      </c>
      <c r="G135" s="385">
        <v>2015</v>
      </c>
      <c r="H135" s="385">
        <v>2025</v>
      </c>
      <c r="I135" s="385" t="s">
        <v>337</v>
      </c>
      <c r="K135" s="756" t="s">
        <v>2163</v>
      </c>
      <c r="L135" s="756"/>
      <c r="M135" s="385"/>
      <c r="N135" s="764"/>
      <c r="O135" s="765"/>
      <c r="P135" s="521"/>
      <c r="Q135" s="772"/>
      <c r="R135" s="765"/>
      <c r="S135" s="755"/>
      <c r="T135" s="755"/>
      <c r="U135" s="755"/>
    </row>
    <row r="136" spans="1:21" s="738" customFormat="1" x14ac:dyDescent="0.25">
      <c r="A136" s="534" t="str">
        <f t="shared" si="2"/>
        <v>Indonesia-2b</v>
      </c>
      <c r="B136" s="8" t="str">
        <f>HYPERLINK('High impact policies'!B240)</f>
        <v>2b</v>
      </c>
      <c r="C136" s="738" t="s">
        <v>6</v>
      </c>
      <c r="D136" s="738" t="s">
        <v>2135</v>
      </c>
      <c r="E136" s="742">
        <v>23</v>
      </c>
      <c r="F136" s="738" t="s">
        <v>1904</v>
      </c>
      <c r="H136" s="738">
        <v>2025</v>
      </c>
      <c r="I136" s="738" t="s">
        <v>784</v>
      </c>
      <c r="K136" s="385" t="s">
        <v>31</v>
      </c>
      <c r="M136" s="385"/>
      <c r="N136" s="764"/>
      <c r="O136" s="765"/>
      <c r="P136" s="521"/>
      <c r="Q136" s="772"/>
      <c r="R136" s="765"/>
    </row>
    <row r="137" spans="1:21" s="534" customFormat="1" x14ac:dyDescent="0.25">
      <c r="A137" s="534" t="str">
        <f t="shared" si="2"/>
        <v>Japan-12</v>
      </c>
      <c r="B137" s="8" t="str">
        <f>HYPERLINK('High impact policies'!B271)</f>
        <v>12</v>
      </c>
      <c r="C137" s="385" t="s">
        <v>14</v>
      </c>
      <c r="D137" s="385" t="s">
        <v>1938</v>
      </c>
      <c r="E137" s="385">
        <f>(-9.7+-15.6)/2</f>
        <v>-12.649999999999999</v>
      </c>
      <c r="F137" s="385" t="s">
        <v>1908</v>
      </c>
      <c r="G137" s="385" t="s">
        <v>374</v>
      </c>
      <c r="H137" s="385">
        <v>2020</v>
      </c>
      <c r="I137" s="385" t="s">
        <v>337</v>
      </c>
      <c r="J137" s="385" t="s">
        <v>2070</v>
      </c>
      <c r="K137" s="756" t="s">
        <v>31</v>
      </c>
      <c r="L137" s="756"/>
      <c r="M137" s="385"/>
      <c r="N137" s="764"/>
      <c r="O137" s="765"/>
      <c r="P137" s="521"/>
      <c r="Q137" s="772"/>
      <c r="R137" s="765"/>
      <c r="S137" s="755"/>
      <c r="T137" s="755"/>
      <c r="U137" s="755"/>
    </row>
    <row r="138" spans="1:21" s="534" customFormat="1" x14ac:dyDescent="0.25">
      <c r="A138" s="534" t="str">
        <f t="shared" si="2"/>
        <v>Japan-11b</v>
      </c>
      <c r="B138" s="8" t="str">
        <f>HYPERLINK('High impact policies'!B274)</f>
        <v>11b</v>
      </c>
      <c r="C138" s="385" t="s">
        <v>14</v>
      </c>
      <c r="D138" s="385" t="s">
        <v>1960</v>
      </c>
      <c r="E138" s="18">
        <v>23</v>
      </c>
      <c r="F138" s="385" t="s">
        <v>1904</v>
      </c>
      <c r="G138" s="385"/>
      <c r="H138" s="385">
        <v>2030</v>
      </c>
      <c r="I138" s="385" t="s">
        <v>337</v>
      </c>
      <c r="J138" s="385" t="s">
        <v>2139</v>
      </c>
      <c r="K138" s="756" t="s">
        <v>31</v>
      </c>
      <c r="L138" s="756"/>
      <c r="M138" s="385"/>
      <c r="N138" s="764"/>
      <c r="O138" s="765"/>
      <c r="P138" s="521"/>
      <c r="Q138" s="772"/>
      <c r="R138" s="765"/>
      <c r="S138" s="755"/>
      <c r="T138" s="755"/>
      <c r="U138" s="755"/>
    </row>
    <row r="139" spans="1:21" s="534" customFormat="1" x14ac:dyDescent="0.25">
      <c r="A139" s="534" t="str">
        <f t="shared" si="2"/>
        <v>Japan-13</v>
      </c>
      <c r="B139" s="8" t="str">
        <f>HYPERLINK('High impact policies'!B272)</f>
        <v>13</v>
      </c>
      <c r="C139" s="385" t="s">
        <v>14</v>
      </c>
      <c r="D139" s="385" t="s">
        <v>2009</v>
      </c>
      <c r="E139" s="385">
        <v>1053</v>
      </c>
      <c r="F139" s="385" t="s">
        <v>2010</v>
      </c>
      <c r="G139" s="385">
        <v>2015</v>
      </c>
      <c r="H139" s="385"/>
      <c r="I139" s="385" t="s">
        <v>337</v>
      </c>
      <c r="K139" s="756" t="s">
        <v>32</v>
      </c>
      <c r="L139" s="756" t="s">
        <v>32</v>
      </c>
      <c r="M139" s="385" t="s">
        <v>493</v>
      </c>
      <c r="N139" s="774">
        <v>4.9631171875</v>
      </c>
      <c r="O139" s="775">
        <v>4.9815842285156249</v>
      </c>
      <c r="P139" s="776">
        <v>3.7208553249831779E-3</v>
      </c>
      <c r="Q139" s="777">
        <v>1.8467041015624908E-2</v>
      </c>
      <c r="R139" s="775">
        <v>3.3593779577367326E-3</v>
      </c>
      <c r="S139" s="755">
        <v>2020</v>
      </c>
      <c r="T139" s="755" t="s">
        <v>2185</v>
      </c>
      <c r="U139" s="755" t="s">
        <v>2176</v>
      </c>
    </row>
    <row r="140" spans="1:21" s="534" customFormat="1" x14ac:dyDescent="0.25">
      <c r="A140" s="534" t="str">
        <f t="shared" ref="A140:A203" si="3">C140&amp;"-"&amp;B140</f>
        <v>Japan-2</v>
      </c>
      <c r="B140" s="8" t="str">
        <f>HYPERLINK('High impact policies'!B246)</f>
        <v>2</v>
      </c>
      <c r="C140" s="385" t="s">
        <v>14</v>
      </c>
      <c r="D140" s="385" t="s">
        <v>2196</v>
      </c>
      <c r="E140" s="385">
        <v>1.07</v>
      </c>
      <c r="F140" s="385" t="s">
        <v>1413</v>
      </c>
      <c r="G140" s="385"/>
      <c r="H140" s="385">
        <v>2020</v>
      </c>
      <c r="I140" s="385" t="s">
        <v>337</v>
      </c>
      <c r="J140" s="534" t="s">
        <v>2011</v>
      </c>
      <c r="K140" s="756" t="s">
        <v>32</v>
      </c>
      <c r="L140" s="756" t="s">
        <v>32</v>
      </c>
      <c r="M140" s="385" t="s">
        <v>493</v>
      </c>
      <c r="N140" s="764">
        <v>2.43364096</v>
      </c>
      <c r="O140" s="765">
        <v>2.3454929920000001</v>
      </c>
      <c r="P140" s="106">
        <v>-3.6220613249375908E-2</v>
      </c>
      <c r="Q140" s="772">
        <v>-8.814796799999991E-2</v>
      </c>
      <c r="R140" s="765">
        <v>-1.6035180756242124E-2</v>
      </c>
      <c r="S140" s="755">
        <v>2020</v>
      </c>
      <c r="T140" s="755" t="s">
        <v>2185</v>
      </c>
      <c r="U140" s="755" t="s">
        <v>2170</v>
      </c>
    </row>
    <row r="141" spans="1:21" s="534" customFormat="1" x14ac:dyDescent="0.25">
      <c r="A141" s="534" t="str">
        <f t="shared" si="3"/>
        <v>Japan-5</v>
      </c>
      <c r="B141" s="8" t="str">
        <f>HYPERLINK('High impact policies'!B279)</f>
        <v>5</v>
      </c>
      <c r="C141" s="385" t="s">
        <v>14</v>
      </c>
      <c r="D141" s="385" t="s">
        <v>2012</v>
      </c>
      <c r="E141" s="385">
        <v>-3.5</v>
      </c>
      <c r="F141" s="385" t="s">
        <v>1904</v>
      </c>
      <c r="G141" s="385">
        <v>1990</v>
      </c>
      <c r="H141" s="385">
        <v>2020</v>
      </c>
      <c r="I141" s="385" t="s">
        <v>337</v>
      </c>
      <c r="K141" s="756" t="s">
        <v>2163</v>
      </c>
      <c r="L141" s="756"/>
      <c r="M141" s="385"/>
      <c r="N141" s="764"/>
      <c r="O141" s="765"/>
      <c r="P141" s="521"/>
      <c r="Q141" s="772"/>
      <c r="R141" s="765"/>
      <c r="S141" s="755"/>
      <c r="T141" s="755"/>
      <c r="U141" s="755"/>
    </row>
    <row r="142" spans="1:21" s="534" customFormat="1" x14ac:dyDescent="0.25">
      <c r="A142" s="534" t="str">
        <f t="shared" si="3"/>
        <v>Japan-5</v>
      </c>
      <c r="B142" s="534" t="str">
        <f>$B$141</f>
        <v>5</v>
      </c>
      <c r="C142" s="706" t="s">
        <v>14</v>
      </c>
      <c r="D142" s="706" t="s">
        <v>2012</v>
      </c>
      <c r="E142" s="706">
        <v>-44</v>
      </c>
      <c r="F142" s="706" t="s">
        <v>1908</v>
      </c>
      <c r="G142" s="706">
        <v>1990</v>
      </c>
      <c r="H142" s="706">
        <v>2020</v>
      </c>
      <c r="I142" s="706" t="s">
        <v>1945</v>
      </c>
      <c r="K142" s="756" t="s">
        <v>2163</v>
      </c>
      <c r="L142" s="756"/>
      <c r="M142" s="385"/>
      <c r="N142" s="764"/>
      <c r="O142" s="765"/>
      <c r="P142" s="521"/>
      <c r="Q142" s="772"/>
      <c r="R142" s="765"/>
      <c r="S142" s="755"/>
      <c r="T142" s="755"/>
      <c r="U142" s="755"/>
    </row>
    <row r="143" spans="1:21" s="534" customFormat="1" x14ac:dyDescent="0.25">
      <c r="A143" s="534" t="str">
        <f t="shared" si="3"/>
        <v>Japan-4a</v>
      </c>
      <c r="B143" s="8" t="str">
        <f>HYPERLINK('High impact policies'!B249)</f>
        <v>4a</v>
      </c>
      <c r="C143" s="703" t="s">
        <v>14</v>
      </c>
      <c r="D143" s="703" t="s">
        <v>2016</v>
      </c>
      <c r="E143" s="703" t="s">
        <v>2014</v>
      </c>
      <c r="F143" s="703" t="s">
        <v>2015</v>
      </c>
      <c r="G143" s="703"/>
      <c r="H143" s="703"/>
      <c r="I143" s="703" t="s">
        <v>1946</v>
      </c>
      <c r="K143" s="756" t="s">
        <v>32</v>
      </c>
      <c r="L143" s="756" t="s">
        <v>685</v>
      </c>
      <c r="M143" s="385" t="s">
        <v>685</v>
      </c>
      <c r="N143" s="774">
        <v>6.6891757812500003</v>
      </c>
      <c r="O143" s="775">
        <v>6.7032890625000006</v>
      </c>
      <c r="P143" s="776">
        <v>2.1098684967377078E-3</v>
      </c>
      <c r="Q143" s="777">
        <v>1.411328125000022E-2</v>
      </c>
      <c r="R143" s="775">
        <v>2.4431656719136265E-3</v>
      </c>
      <c r="S143" s="755">
        <v>2025</v>
      </c>
      <c r="T143" s="755" t="s">
        <v>2185</v>
      </c>
      <c r="U143" s="755" t="s">
        <v>2186</v>
      </c>
    </row>
    <row r="144" spans="1:21" s="534" customFormat="1" x14ac:dyDescent="0.25">
      <c r="A144" s="534" t="str">
        <f t="shared" si="3"/>
        <v>Japan-4c</v>
      </c>
      <c r="B144" s="8" t="str">
        <f>HYPERLINK('High impact policies'!B251)</f>
        <v>4c</v>
      </c>
      <c r="C144" s="703" t="s">
        <v>14</v>
      </c>
      <c r="D144" s="703" t="s">
        <v>2017</v>
      </c>
      <c r="E144" s="703" t="s">
        <v>2018</v>
      </c>
      <c r="F144" s="703" t="s">
        <v>2019</v>
      </c>
      <c r="G144" s="703"/>
      <c r="H144" s="703"/>
      <c r="I144" s="703" t="s">
        <v>1946</v>
      </c>
      <c r="K144" s="756" t="s">
        <v>32</v>
      </c>
      <c r="L144" s="756" t="s">
        <v>685</v>
      </c>
      <c r="M144" s="385" t="s">
        <v>685</v>
      </c>
      <c r="N144" s="764">
        <v>4.5161958007812499</v>
      </c>
      <c r="O144" s="765">
        <v>4.3334311523437501</v>
      </c>
      <c r="P144" s="106">
        <v>-4.0468716703089727E-2</v>
      </c>
      <c r="Q144" s="772">
        <v>-0.18276464843749984</v>
      </c>
      <c r="R144" s="765">
        <v>-3.1638589722135319E-2</v>
      </c>
      <c r="S144" s="755">
        <v>2025</v>
      </c>
      <c r="T144" s="755" t="s">
        <v>2185</v>
      </c>
      <c r="U144" s="755" t="s">
        <v>2187</v>
      </c>
    </row>
    <row r="145" spans="1:21" s="534" customFormat="1" x14ac:dyDescent="0.25">
      <c r="A145" s="534" t="str">
        <f t="shared" si="3"/>
        <v>Japan-8b</v>
      </c>
      <c r="B145" s="8" t="str">
        <f>HYPERLINK('High impact policies'!B266)</f>
        <v>8b</v>
      </c>
      <c r="C145" s="703" t="s">
        <v>14</v>
      </c>
      <c r="D145" s="703" t="s">
        <v>1120</v>
      </c>
      <c r="E145" s="703">
        <v>17.5</v>
      </c>
      <c r="F145" s="703" t="s">
        <v>2013</v>
      </c>
      <c r="G145" s="703"/>
      <c r="H145" s="703"/>
      <c r="I145" s="703" t="s">
        <v>1946</v>
      </c>
      <c r="K145" s="756" t="s">
        <v>32</v>
      </c>
      <c r="L145" s="756" t="s">
        <v>685</v>
      </c>
      <c r="M145" s="385" t="s">
        <v>685</v>
      </c>
      <c r="N145" s="774">
        <v>2.0439530029296877</v>
      </c>
      <c r="O145" s="775">
        <v>2.113571044921875</v>
      </c>
      <c r="P145" s="776">
        <v>3.4060490575077138E-2</v>
      </c>
      <c r="Q145" s="777">
        <v>6.9618041992187241E-2</v>
      </c>
      <c r="R145" s="775">
        <v>1.2051655977673553E-2</v>
      </c>
      <c r="S145" s="755">
        <v>2025</v>
      </c>
      <c r="T145" s="755" t="s">
        <v>2185</v>
      </c>
      <c r="U145" s="755" t="s">
        <v>2188</v>
      </c>
    </row>
    <row r="146" spans="1:21" s="534" customFormat="1" x14ac:dyDescent="0.25">
      <c r="A146" s="534" t="str">
        <f t="shared" si="3"/>
        <v>Japan-6a</v>
      </c>
      <c r="B146" s="8" t="str">
        <f>HYPERLINK('High impact policies'!B252)</f>
        <v>6a</v>
      </c>
      <c r="C146" s="703" t="s">
        <v>14</v>
      </c>
      <c r="D146" s="703" t="s">
        <v>1995</v>
      </c>
      <c r="E146" s="703">
        <v>-1</v>
      </c>
      <c r="F146" s="703" t="s">
        <v>2020</v>
      </c>
      <c r="G146" s="703">
        <v>2014</v>
      </c>
      <c r="H146" s="703"/>
      <c r="I146" s="703" t="s">
        <v>1946</v>
      </c>
      <c r="J146" s="703" t="s">
        <v>2021</v>
      </c>
      <c r="K146" s="756" t="s">
        <v>32</v>
      </c>
      <c r="L146" s="756" t="s">
        <v>685</v>
      </c>
      <c r="M146" s="385" t="s">
        <v>685</v>
      </c>
      <c r="N146" s="774">
        <v>3.535827880859375</v>
      </c>
      <c r="O146" s="775">
        <v>3.520839111328125</v>
      </c>
      <c r="P146" s="776">
        <v>-4.2391117543897723E-3</v>
      </c>
      <c r="Q146" s="777">
        <v>-1.4988769531250057E-2</v>
      </c>
      <c r="R146" s="775">
        <v>-2.5947224131861236E-3</v>
      </c>
      <c r="S146" s="755">
        <v>2025</v>
      </c>
      <c r="T146" s="755" t="s">
        <v>2185</v>
      </c>
      <c r="U146" s="755" t="s">
        <v>2181</v>
      </c>
    </row>
    <row r="147" spans="1:21" s="534" customFormat="1" x14ac:dyDescent="0.25">
      <c r="A147" s="534" t="str">
        <f t="shared" si="3"/>
        <v>Japan-1a</v>
      </c>
      <c r="B147" s="8" t="str">
        <f>HYPERLINK('High impact policies'!B244)</f>
        <v>1a</v>
      </c>
      <c r="C147" s="703" t="s">
        <v>14</v>
      </c>
      <c r="D147" s="703" t="s">
        <v>1688</v>
      </c>
      <c r="E147" s="704">
        <v>15000000</v>
      </c>
      <c r="F147" s="703" t="s">
        <v>2022</v>
      </c>
      <c r="G147" s="703">
        <v>2016</v>
      </c>
      <c r="H147" s="703"/>
      <c r="I147" s="703" t="s">
        <v>1946</v>
      </c>
      <c r="J147" s="703" t="s">
        <v>2023</v>
      </c>
      <c r="K147" s="756" t="s">
        <v>32</v>
      </c>
      <c r="L147" s="756" t="s">
        <v>685</v>
      </c>
      <c r="M147" s="385" t="s">
        <v>685</v>
      </c>
      <c r="N147" s="764">
        <v>2.3075909120000002</v>
      </c>
      <c r="O147" s="765">
        <v>2.1719449600000003</v>
      </c>
      <c r="P147" s="106">
        <v>-5.8782495326450628E-2</v>
      </c>
      <c r="Q147" s="772">
        <v>-0.13564595199999996</v>
      </c>
      <c r="R147" s="765">
        <v>-2.3481820250725767E-2</v>
      </c>
      <c r="S147" s="755">
        <v>2025</v>
      </c>
      <c r="T147" s="755" t="s">
        <v>2185</v>
      </c>
      <c r="U147" s="755" t="s">
        <v>2170</v>
      </c>
    </row>
    <row r="148" spans="1:21" s="534" customFormat="1" x14ac:dyDescent="0.25">
      <c r="A148" s="534" t="str">
        <f t="shared" si="3"/>
        <v>Japan-8a</v>
      </c>
      <c r="B148" s="8" t="str">
        <f>HYPERLINK('High impact policies'!B265)</f>
        <v>8a</v>
      </c>
      <c r="C148" s="703" t="s">
        <v>14</v>
      </c>
      <c r="D148" s="703" t="s">
        <v>1116</v>
      </c>
      <c r="E148" s="703">
        <v>53.8</v>
      </c>
      <c r="F148" s="703" t="s">
        <v>2024</v>
      </c>
      <c r="G148" s="703"/>
      <c r="H148" s="703"/>
      <c r="I148" s="703" t="s">
        <v>1946</v>
      </c>
      <c r="J148" s="703"/>
      <c r="K148" s="756" t="s">
        <v>32</v>
      </c>
      <c r="L148" s="756" t="s">
        <v>685</v>
      </c>
      <c r="M148" s="385" t="s">
        <v>685</v>
      </c>
      <c r="N148" s="764">
        <v>2.3075909120000002</v>
      </c>
      <c r="O148" s="765">
        <v>2.1719449600000003</v>
      </c>
      <c r="P148" s="106">
        <v>-5.8782495326450628E-2</v>
      </c>
      <c r="Q148" s="772">
        <v>-0.13564595199999996</v>
      </c>
      <c r="R148" s="765">
        <v>-2.3481820250725767E-2</v>
      </c>
      <c r="S148" s="755">
        <v>2025</v>
      </c>
      <c r="T148" s="755" t="s">
        <v>2185</v>
      </c>
      <c r="U148" s="755" t="s">
        <v>2170</v>
      </c>
    </row>
    <row r="149" spans="1:21" s="534" customFormat="1" x14ac:dyDescent="0.25">
      <c r="A149" s="534" t="str">
        <f t="shared" si="3"/>
        <v>Japan-8d</v>
      </c>
      <c r="B149" s="8" t="str">
        <f>HYPERLINK('High impact policies'!B268)</f>
        <v>8d</v>
      </c>
      <c r="C149" s="703" t="s">
        <v>14</v>
      </c>
      <c r="D149" s="703" t="s">
        <v>1128</v>
      </c>
      <c r="E149" s="703">
        <v>26</v>
      </c>
      <c r="F149" s="703" t="s">
        <v>2024</v>
      </c>
      <c r="G149" s="703"/>
      <c r="H149" s="703"/>
      <c r="I149" s="703" t="s">
        <v>1946</v>
      </c>
      <c r="J149" s="703"/>
      <c r="K149" s="756" t="s">
        <v>32</v>
      </c>
      <c r="L149" s="756" t="s">
        <v>685</v>
      </c>
      <c r="M149" s="385" t="s">
        <v>685</v>
      </c>
      <c r="N149" s="764" t="s">
        <v>685</v>
      </c>
      <c r="O149" s="765" t="s">
        <v>685</v>
      </c>
      <c r="P149" s="521" t="s">
        <v>685</v>
      </c>
      <c r="Q149" s="772" t="s">
        <v>685</v>
      </c>
      <c r="R149" s="765" t="s">
        <v>685</v>
      </c>
      <c r="S149" s="755"/>
      <c r="T149" s="755"/>
      <c r="U149" s="755"/>
    </row>
    <row r="150" spans="1:21" s="534" customFormat="1" x14ac:dyDescent="0.25">
      <c r="A150" s="534" t="str">
        <f t="shared" si="3"/>
        <v>Japan-8c</v>
      </c>
      <c r="B150" s="8" t="str">
        <f>HYPERLINK('High impact policies'!B267)</f>
        <v>8c</v>
      </c>
      <c r="C150" s="703" t="s">
        <v>14</v>
      </c>
      <c r="D150" s="703" t="s">
        <v>1124</v>
      </c>
      <c r="E150" s="703">
        <v>32.1</v>
      </c>
      <c r="F150" s="703" t="s">
        <v>2024</v>
      </c>
      <c r="G150" s="703"/>
      <c r="H150" s="703"/>
      <c r="I150" s="703" t="s">
        <v>1946</v>
      </c>
      <c r="J150" s="703"/>
      <c r="K150" s="756" t="s">
        <v>32</v>
      </c>
      <c r="L150" s="756" t="s">
        <v>685</v>
      </c>
      <c r="M150" s="385" t="s">
        <v>685</v>
      </c>
      <c r="N150" s="764">
        <v>1.1804020480000001</v>
      </c>
      <c r="O150" s="765">
        <v>1.1810749440000001</v>
      </c>
      <c r="P150" s="106">
        <v>5.7005661853949804E-4</v>
      </c>
      <c r="Q150" s="772">
        <v>6.728959999999784E-4</v>
      </c>
      <c r="R150" s="765">
        <v>1.1648576818150728E-4</v>
      </c>
      <c r="S150" s="755">
        <v>2025</v>
      </c>
      <c r="T150" s="755" t="s">
        <v>2185</v>
      </c>
      <c r="U150" s="755" t="s">
        <v>2171</v>
      </c>
    </row>
    <row r="151" spans="1:21" s="738" customFormat="1" x14ac:dyDescent="0.25">
      <c r="A151" s="534" t="str">
        <f t="shared" si="3"/>
        <v>Japan-9</v>
      </c>
      <c r="B151" s="8" t="str">
        <f>HYPERLINK('High impact policies'!B270)</f>
        <v>9</v>
      </c>
      <c r="C151" s="738" t="s">
        <v>14</v>
      </c>
      <c r="D151" s="753" t="s">
        <v>2197</v>
      </c>
      <c r="E151" s="738">
        <v>-10</v>
      </c>
      <c r="F151" s="738" t="s">
        <v>1904</v>
      </c>
      <c r="G151" s="738">
        <v>2010</v>
      </c>
      <c r="H151" s="738">
        <v>2030</v>
      </c>
      <c r="I151" s="738" t="s">
        <v>784</v>
      </c>
      <c r="J151" s="23"/>
      <c r="K151" s="385" t="s">
        <v>32</v>
      </c>
      <c r="L151" s="385" t="s">
        <v>685</v>
      </c>
      <c r="M151" s="385"/>
      <c r="N151" s="764"/>
      <c r="O151" s="765"/>
      <c r="P151" s="106"/>
      <c r="Q151" s="772"/>
      <c r="R151" s="765"/>
    </row>
    <row r="152" spans="1:21" s="738" customFormat="1" x14ac:dyDescent="0.25">
      <c r="A152" s="534" t="str">
        <f t="shared" si="3"/>
        <v>Japan-9</v>
      </c>
      <c r="B152" s="738" t="str">
        <f>$B$151</f>
        <v>9</v>
      </c>
      <c r="C152" s="706" t="s">
        <v>14</v>
      </c>
      <c r="D152" s="754" t="s">
        <v>1986</v>
      </c>
      <c r="E152" s="706">
        <v>-1397</v>
      </c>
      <c r="F152" s="706" t="s">
        <v>1996</v>
      </c>
      <c r="G152" s="706">
        <v>2010</v>
      </c>
      <c r="H152" s="738">
        <v>2030</v>
      </c>
      <c r="I152" s="706" t="s">
        <v>1945</v>
      </c>
      <c r="J152" s="23"/>
      <c r="K152" s="385" t="s">
        <v>32</v>
      </c>
      <c r="L152" s="385" t="s">
        <v>685</v>
      </c>
      <c r="M152" s="385"/>
      <c r="N152" s="764"/>
      <c r="O152" s="765"/>
      <c r="P152" s="106"/>
      <c r="Q152" s="772"/>
      <c r="R152" s="765"/>
    </row>
    <row r="153" spans="1:21" s="534" customFormat="1" x14ac:dyDescent="0.25">
      <c r="A153" s="534" t="str">
        <f t="shared" si="3"/>
        <v>Republic of Korea-3a</v>
      </c>
      <c r="B153" s="8" t="str">
        <f>HYPERLINK('High impact policies'!B286)</f>
        <v>3a</v>
      </c>
      <c r="C153" s="385" t="s">
        <v>10</v>
      </c>
      <c r="D153" s="385" t="s">
        <v>1913</v>
      </c>
      <c r="E153" s="385">
        <v>9.6999999999999993</v>
      </c>
      <c r="F153" s="385" t="s">
        <v>1904</v>
      </c>
      <c r="G153" s="385"/>
      <c r="H153" s="385">
        <v>2020</v>
      </c>
      <c r="I153" s="385" t="s">
        <v>337</v>
      </c>
      <c r="J153" s="703"/>
      <c r="K153" s="756" t="s">
        <v>31</v>
      </c>
      <c r="L153" s="756"/>
      <c r="M153" s="385"/>
      <c r="N153" s="764"/>
      <c r="O153" s="765"/>
      <c r="P153" s="521"/>
      <c r="Q153" s="772"/>
      <c r="R153" s="765"/>
      <c r="S153" s="755"/>
      <c r="T153" s="755"/>
      <c r="U153" s="755"/>
    </row>
    <row r="154" spans="1:21" s="534" customFormat="1" x14ac:dyDescent="0.25">
      <c r="A154" s="534" t="str">
        <f t="shared" si="3"/>
        <v>Republic of Korea-3c</v>
      </c>
      <c r="B154" s="8" t="str">
        <f>HYPERLINK('High impact policies'!B288)</f>
        <v>3c</v>
      </c>
      <c r="C154" s="385" t="s">
        <v>10</v>
      </c>
      <c r="D154" s="385" t="s">
        <v>1925</v>
      </c>
      <c r="E154" s="385">
        <v>1.8</v>
      </c>
      <c r="F154" s="385" t="s">
        <v>1883</v>
      </c>
      <c r="G154" s="385"/>
      <c r="H154" s="385">
        <v>2029</v>
      </c>
      <c r="I154" s="385" t="s">
        <v>337</v>
      </c>
      <c r="K154" s="756" t="s">
        <v>32</v>
      </c>
      <c r="L154" s="756" t="s">
        <v>32</v>
      </c>
      <c r="M154" s="385" t="s">
        <v>2158</v>
      </c>
      <c r="N154" s="774">
        <v>6.8105776000000007E-2</v>
      </c>
      <c r="O154" s="775">
        <v>6.8096351999999999E-2</v>
      </c>
      <c r="P154" s="776">
        <v>-1.3837299203532853E-4</v>
      </c>
      <c r="Q154" s="777">
        <v>-9.4240000000078705E-6</v>
      </c>
      <c r="R154" s="775">
        <v>-4.0370628224556485E-6</v>
      </c>
      <c r="S154" s="755">
        <v>2030</v>
      </c>
      <c r="T154" s="755" t="s">
        <v>248</v>
      </c>
      <c r="U154" s="755" t="s">
        <v>2166</v>
      </c>
    </row>
    <row r="155" spans="1:21" s="534" customFormat="1" x14ac:dyDescent="0.25">
      <c r="A155" s="534" t="str">
        <f t="shared" si="3"/>
        <v>Republic of Korea-3d</v>
      </c>
      <c r="B155" s="8" t="str">
        <f>HYPERLINK('High impact policies'!B289)</f>
        <v>3d</v>
      </c>
      <c r="C155" s="385" t="s">
        <v>10</v>
      </c>
      <c r="D155" s="385" t="s">
        <v>2025</v>
      </c>
      <c r="E155" s="385">
        <v>0.8</v>
      </c>
      <c r="F155" s="385" t="s">
        <v>1883</v>
      </c>
      <c r="G155" s="385"/>
      <c r="H155" s="385">
        <v>2029</v>
      </c>
      <c r="I155" s="385" t="s">
        <v>337</v>
      </c>
      <c r="K155" s="756" t="s">
        <v>32</v>
      </c>
      <c r="L155" s="756" t="s">
        <v>32</v>
      </c>
      <c r="M155" s="385" t="s">
        <v>2158</v>
      </c>
      <c r="N155" s="764">
        <v>5.3199460000000004E-2</v>
      </c>
      <c r="O155" s="765">
        <v>5.2163800000000003E-2</v>
      </c>
      <c r="P155" s="106">
        <v>2.5736554593037871E-2</v>
      </c>
      <c r="Q155" s="772">
        <v>6.9811999999999999E-4</v>
      </c>
      <c r="R155" s="765">
        <v>3.4548244177705746E-4</v>
      </c>
      <c r="S155" s="755">
        <v>2030</v>
      </c>
      <c r="T155" s="755" t="s">
        <v>248</v>
      </c>
      <c r="U155" s="755" t="s">
        <v>2174</v>
      </c>
    </row>
    <row r="156" spans="1:21" s="534" customFormat="1" x14ac:dyDescent="0.25">
      <c r="A156" s="534" t="str">
        <f t="shared" si="3"/>
        <v>Republic of Korea-3e</v>
      </c>
      <c r="B156" s="8" t="str">
        <f>HYPERLINK('High impact policies'!B290)</f>
        <v>3e</v>
      </c>
      <c r="C156" s="385" t="s">
        <v>10</v>
      </c>
      <c r="D156" s="385" t="s">
        <v>2026</v>
      </c>
      <c r="E156" s="385">
        <v>1</v>
      </c>
      <c r="F156" s="385" t="s">
        <v>1883</v>
      </c>
      <c r="G156" s="385"/>
      <c r="H156" s="385">
        <v>2029</v>
      </c>
      <c r="I156" s="385" t="s">
        <v>337</v>
      </c>
      <c r="K156" s="756" t="s">
        <v>32</v>
      </c>
      <c r="L156" s="756" t="s">
        <v>32</v>
      </c>
      <c r="M156" s="385" t="s">
        <v>32</v>
      </c>
      <c r="N156" s="768">
        <v>6.8163310000000001E-3</v>
      </c>
      <c r="O156" s="769">
        <v>1.7538720000000001E-2</v>
      </c>
      <c r="P156" s="770">
        <v>1.3700820182656186</v>
      </c>
      <c r="Q156" s="771">
        <v>3.3435920000000003E-3</v>
      </c>
      <c r="R156" s="769">
        <v>1.6546615602851017E-3</v>
      </c>
      <c r="S156" s="755">
        <v>2030</v>
      </c>
      <c r="T156" s="755" t="s">
        <v>248</v>
      </c>
      <c r="U156" s="755" t="s">
        <v>2175</v>
      </c>
    </row>
    <row r="157" spans="1:21" s="534" customFormat="1" x14ac:dyDescent="0.25">
      <c r="A157" s="534" t="str">
        <f t="shared" si="3"/>
        <v>Republic of Korea-3f</v>
      </c>
      <c r="B157" s="8" t="str">
        <f>HYPERLINK('High impact policies'!B291)</f>
        <v>3f</v>
      </c>
      <c r="C157" s="385" t="s">
        <v>10</v>
      </c>
      <c r="D157" s="385" t="s">
        <v>1928</v>
      </c>
      <c r="E157" s="385">
        <v>16.600000000000001</v>
      </c>
      <c r="F157" s="385" t="s">
        <v>1883</v>
      </c>
      <c r="G157" s="385"/>
      <c r="H157" s="385">
        <v>2029</v>
      </c>
      <c r="I157" s="385" t="s">
        <v>337</v>
      </c>
      <c r="K157" s="756" t="s">
        <v>32</v>
      </c>
      <c r="L157" s="756" t="s">
        <v>32</v>
      </c>
      <c r="M157" s="385" t="s">
        <v>32</v>
      </c>
      <c r="N157" s="768">
        <v>3.4814430941406252E-2</v>
      </c>
      <c r="O157" s="769">
        <v>0.10812447700000001</v>
      </c>
      <c r="P157" s="770">
        <v>2.1057373070947736</v>
      </c>
      <c r="Q157" s="771">
        <v>7.3310046058593759E-2</v>
      </c>
      <c r="R157" s="769">
        <v>3.1404633006728876E-2</v>
      </c>
      <c r="S157" s="755">
        <v>2030</v>
      </c>
      <c r="T157" s="755" t="s">
        <v>248</v>
      </c>
      <c r="U157" s="755" t="s">
        <v>2167</v>
      </c>
    </row>
    <row r="158" spans="1:21" s="534" customFormat="1" x14ac:dyDescent="0.25">
      <c r="A158" s="534" t="str">
        <f t="shared" si="3"/>
        <v>Republic of Korea-3g</v>
      </c>
      <c r="B158" s="8" t="str">
        <f>HYPERLINK('High impact policies'!B292)</f>
        <v>3g</v>
      </c>
      <c r="C158" s="385" t="s">
        <v>10</v>
      </c>
      <c r="D158" s="385" t="s">
        <v>1924</v>
      </c>
      <c r="E158" s="385">
        <v>0.2</v>
      </c>
      <c r="F158" s="385" t="s">
        <v>1883</v>
      </c>
      <c r="G158" s="385"/>
      <c r="H158" s="385">
        <v>2029</v>
      </c>
      <c r="I158" s="385" t="s">
        <v>337</v>
      </c>
      <c r="K158" s="756" t="s">
        <v>32</v>
      </c>
      <c r="L158" s="756" t="s">
        <v>32</v>
      </c>
      <c r="M158" s="385" t="s">
        <v>2158</v>
      </c>
      <c r="N158" s="764">
        <v>1.777397E-2</v>
      </c>
      <c r="O158" s="765">
        <v>2.0103314000000001E-2</v>
      </c>
      <c r="P158" s="106">
        <v>0.13105367005795557</v>
      </c>
      <c r="Q158" s="772">
        <v>2.3293440000000006E-3</v>
      </c>
      <c r="R158" s="765">
        <v>9.9784678088946067E-4</v>
      </c>
      <c r="S158" s="755">
        <v>2030</v>
      </c>
      <c r="T158" s="755" t="s">
        <v>248</v>
      </c>
      <c r="U158" s="755" t="s">
        <v>2160</v>
      </c>
    </row>
    <row r="159" spans="1:21" s="534" customFormat="1" x14ac:dyDescent="0.25">
      <c r="A159" s="534" t="str">
        <f t="shared" si="3"/>
        <v>Republic of Korea-3h</v>
      </c>
      <c r="B159" s="8" t="str">
        <f>HYPERLINK('High impact policies'!B293)</f>
        <v>3h</v>
      </c>
      <c r="C159" s="385" t="s">
        <v>10</v>
      </c>
      <c r="D159" s="385" t="s">
        <v>2027</v>
      </c>
      <c r="E159" s="385">
        <v>0.2</v>
      </c>
      <c r="F159" s="385" t="s">
        <v>1883</v>
      </c>
      <c r="G159" s="385"/>
      <c r="H159" s="385">
        <v>2029</v>
      </c>
      <c r="I159" s="385" t="s">
        <v>337</v>
      </c>
      <c r="K159" s="756" t="s">
        <v>32</v>
      </c>
      <c r="L159" s="756" t="s">
        <v>32</v>
      </c>
      <c r="M159" s="385" t="s">
        <v>2158</v>
      </c>
      <c r="N159" s="764" t="s">
        <v>685</v>
      </c>
      <c r="O159" s="765" t="s">
        <v>685</v>
      </c>
      <c r="P159" s="521" t="s">
        <v>685</v>
      </c>
      <c r="Q159" s="772" t="s">
        <v>685</v>
      </c>
      <c r="R159" s="765" t="s">
        <v>685</v>
      </c>
      <c r="S159" s="755"/>
      <c r="T159" s="755"/>
      <c r="U159" s="755"/>
    </row>
    <row r="160" spans="1:21" s="534" customFormat="1" x14ac:dyDescent="0.25">
      <c r="A160" s="534" t="str">
        <f t="shared" si="3"/>
        <v>Republic of Korea-1b</v>
      </c>
      <c r="B160" s="8" t="str">
        <f>HYPERLINK('High impact policies'!B283)</f>
        <v>1b</v>
      </c>
      <c r="C160" s="385" t="s">
        <v>10</v>
      </c>
      <c r="D160" s="385" t="s">
        <v>1942</v>
      </c>
      <c r="E160" s="385">
        <v>-26.9</v>
      </c>
      <c r="F160" s="385" t="s">
        <v>1904</v>
      </c>
      <c r="G160" s="385" t="s">
        <v>1943</v>
      </c>
      <c r="H160" s="385">
        <v>2030</v>
      </c>
      <c r="I160" s="385" t="s">
        <v>337</v>
      </c>
      <c r="K160" s="756" t="s">
        <v>32</v>
      </c>
      <c r="L160" s="756" t="s">
        <v>32</v>
      </c>
      <c r="M160" s="385" t="s">
        <v>32</v>
      </c>
      <c r="N160" s="768">
        <v>2.7595660400390627</v>
      </c>
      <c r="O160" s="769">
        <v>2.6523489990234377</v>
      </c>
      <c r="P160" s="770">
        <v>-3.8852862899453319E-2</v>
      </c>
      <c r="Q160" s="771">
        <v>-0.10721704101562501</v>
      </c>
      <c r="R160" s="769">
        <v>-4.5929746415271713E-2</v>
      </c>
      <c r="S160" s="755">
        <v>2030</v>
      </c>
      <c r="T160" s="755" t="s">
        <v>248</v>
      </c>
      <c r="U160" s="755" t="s">
        <v>2176</v>
      </c>
    </row>
    <row r="161" spans="1:21" s="534" customFormat="1" x14ac:dyDescent="0.25">
      <c r="A161" s="534" t="str">
        <f t="shared" si="3"/>
        <v>Republic of Korea-1b</v>
      </c>
      <c r="B161" s="534" t="str">
        <f>$B$160</f>
        <v>1b</v>
      </c>
      <c r="C161" s="706" t="s">
        <v>10</v>
      </c>
      <c r="D161" s="706" t="s">
        <v>1942</v>
      </c>
      <c r="E161" s="706">
        <v>-45</v>
      </c>
      <c r="F161" s="706" t="s">
        <v>1908</v>
      </c>
      <c r="G161" s="706" t="s">
        <v>1943</v>
      </c>
      <c r="H161" s="706">
        <v>2030</v>
      </c>
      <c r="I161" s="706" t="s">
        <v>1945</v>
      </c>
      <c r="K161" s="756" t="s">
        <v>32</v>
      </c>
      <c r="L161" s="756" t="s">
        <v>32</v>
      </c>
      <c r="M161" s="385" t="s">
        <v>2161</v>
      </c>
      <c r="N161" s="764">
        <v>2.7595660400390627</v>
      </c>
      <c r="O161" s="765">
        <v>2.6523489990234377</v>
      </c>
      <c r="P161" s="106">
        <v>-3.8852862899453319E-2</v>
      </c>
      <c r="Q161" s="772">
        <v>-0.10721704101562501</v>
      </c>
      <c r="R161" s="765">
        <v>-4.5929746415271713E-2</v>
      </c>
      <c r="S161" s="755">
        <v>2030</v>
      </c>
      <c r="T161" s="755" t="s">
        <v>248</v>
      </c>
      <c r="U161" s="755" t="s">
        <v>2176</v>
      </c>
    </row>
    <row r="162" spans="1:21" s="534" customFormat="1" x14ac:dyDescent="0.25">
      <c r="A162" s="534" t="str">
        <f t="shared" si="3"/>
        <v>Republic of Korea-9</v>
      </c>
      <c r="B162" s="8" t="str">
        <f>HYPERLINK('High impact policies'!B301)</f>
        <v>9</v>
      </c>
      <c r="C162" s="385" t="s">
        <v>10</v>
      </c>
      <c r="D162" s="385" t="s">
        <v>1933</v>
      </c>
      <c r="E162" s="385">
        <v>3</v>
      </c>
      <c r="F162" s="385" t="s">
        <v>1904</v>
      </c>
      <c r="G162" s="385"/>
      <c r="H162" s="385">
        <v>2018</v>
      </c>
      <c r="I162" s="385" t="s">
        <v>337</v>
      </c>
      <c r="K162" s="756" t="s">
        <v>32</v>
      </c>
      <c r="L162" s="756" t="s">
        <v>685</v>
      </c>
      <c r="M162" s="385" t="s">
        <v>685</v>
      </c>
      <c r="N162" s="764">
        <v>1.1573590338230133E-4</v>
      </c>
      <c r="O162" s="765">
        <v>3.8468639850616454E-3</v>
      </c>
      <c r="P162" s="106">
        <v>32.238294018016184</v>
      </c>
      <c r="Q162" s="772">
        <v>3.7311280816793441E-3</v>
      </c>
      <c r="R162" s="765">
        <v>2.205879423141936E-3</v>
      </c>
      <c r="S162" s="755">
        <v>2020</v>
      </c>
      <c r="T162" s="755" t="s">
        <v>248</v>
      </c>
      <c r="U162" s="755" t="s">
        <v>2162</v>
      </c>
    </row>
    <row r="163" spans="1:21" s="534" customFormat="1" x14ac:dyDescent="0.25">
      <c r="A163" s="534" t="str">
        <f t="shared" si="3"/>
        <v>Republic of Korea-9</v>
      </c>
      <c r="B163" s="8" t="str">
        <f>HYPERLINK('High impact policies'!B301)</f>
        <v>9</v>
      </c>
      <c r="C163" s="385" t="s">
        <v>10</v>
      </c>
      <c r="D163" s="385" t="s">
        <v>1931</v>
      </c>
      <c r="E163" s="385">
        <v>1.3</v>
      </c>
      <c r="F163" s="385" t="s">
        <v>1904</v>
      </c>
      <c r="G163" s="385"/>
      <c r="H163" s="385">
        <v>2018</v>
      </c>
      <c r="I163" s="385" t="s">
        <v>337</v>
      </c>
      <c r="K163" s="756" t="s">
        <v>32</v>
      </c>
      <c r="L163" s="756" t="s">
        <v>32</v>
      </c>
      <c r="M163" s="385" t="s">
        <v>32</v>
      </c>
      <c r="N163" s="768">
        <v>1.1573590338230133E-4</v>
      </c>
      <c r="O163" s="769">
        <v>3.8468639850616454E-3</v>
      </c>
      <c r="P163" s="770">
        <v>32.238294018016184</v>
      </c>
      <c r="Q163" s="771">
        <v>3.7311280816793441E-3</v>
      </c>
      <c r="R163" s="769">
        <v>2.205879423141936E-3</v>
      </c>
      <c r="S163" s="755">
        <v>2020</v>
      </c>
      <c r="T163" s="755" t="s">
        <v>248</v>
      </c>
      <c r="U163" s="755" t="s">
        <v>2162</v>
      </c>
    </row>
    <row r="164" spans="1:21" s="534" customFormat="1" x14ac:dyDescent="0.25">
      <c r="A164" s="534" t="str">
        <f t="shared" si="3"/>
        <v>Republic of Korea-6</v>
      </c>
      <c r="B164" s="8" t="str">
        <f>HYPERLINK('High impact policies'!B296)</f>
        <v>6</v>
      </c>
      <c r="C164" s="385" t="s">
        <v>10</v>
      </c>
      <c r="D164" s="385" t="s">
        <v>2028</v>
      </c>
      <c r="E164" s="385">
        <v>0.9</v>
      </c>
      <c r="F164" s="385" t="s">
        <v>1413</v>
      </c>
      <c r="G164" s="385"/>
      <c r="H164" s="385">
        <v>2020</v>
      </c>
      <c r="I164" s="385" t="s">
        <v>337</v>
      </c>
      <c r="K164" s="756" t="s">
        <v>32</v>
      </c>
      <c r="L164" s="756" t="s">
        <v>32</v>
      </c>
      <c r="M164" s="385" t="s">
        <v>32</v>
      </c>
      <c r="N164" s="764">
        <v>0.82758688000000002</v>
      </c>
      <c r="O164" s="765">
        <v>0.75419168000000003</v>
      </c>
      <c r="P164" s="106">
        <v>-8.8685794535553766E-2</v>
      </c>
      <c r="Q164" s="772">
        <v>-7.3395199999999994E-2</v>
      </c>
      <c r="R164" s="765">
        <v>-4.3391960257905968E-2</v>
      </c>
      <c r="S164" s="755">
        <v>2020</v>
      </c>
      <c r="T164" s="755" t="s">
        <v>248</v>
      </c>
      <c r="U164" s="755" t="s">
        <v>2170</v>
      </c>
    </row>
    <row r="165" spans="1:21" s="534" customFormat="1" x14ac:dyDescent="0.25">
      <c r="A165" s="534" t="str">
        <f t="shared" si="3"/>
        <v>Republic of Korea-6</v>
      </c>
      <c r="B165" s="534" t="str">
        <f>$B$164</f>
        <v>6</v>
      </c>
      <c r="C165" s="706" t="s">
        <v>10</v>
      </c>
      <c r="D165" s="706" t="s">
        <v>2028</v>
      </c>
      <c r="E165" s="706">
        <v>97</v>
      </c>
      <c r="F165" s="706" t="s">
        <v>389</v>
      </c>
      <c r="G165" s="706"/>
      <c r="H165" s="706">
        <v>2020</v>
      </c>
      <c r="I165" s="706" t="s">
        <v>1945</v>
      </c>
      <c r="K165" s="756" t="s">
        <v>32</v>
      </c>
      <c r="L165" s="756" t="s">
        <v>32</v>
      </c>
      <c r="M165" s="385" t="s">
        <v>32</v>
      </c>
      <c r="N165" s="764">
        <v>0.82758688000000002</v>
      </c>
      <c r="O165" s="765">
        <v>0.75419168000000003</v>
      </c>
      <c r="P165" s="106">
        <v>-8.8685794535553766E-2</v>
      </c>
      <c r="Q165" s="772">
        <v>-7.3395199999999994E-2</v>
      </c>
      <c r="R165" s="765">
        <v>-4.3391960257905968E-2</v>
      </c>
      <c r="S165" s="755">
        <v>2020</v>
      </c>
      <c r="T165" s="755" t="s">
        <v>248</v>
      </c>
      <c r="U165" s="755" t="s">
        <v>2170</v>
      </c>
    </row>
    <row r="166" spans="1:21" s="738" customFormat="1" x14ac:dyDescent="0.25">
      <c r="A166" s="534" t="str">
        <f t="shared" si="3"/>
        <v>Republic of Korea-1</v>
      </c>
      <c r="B166" s="8" t="str">
        <f>HYPERLINK('High impact policies'!B306)</f>
        <v>1</v>
      </c>
      <c r="C166" s="738" t="s">
        <v>10</v>
      </c>
      <c r="D166" s="738" t="s">
        <v>2136</v>
      </c>
      <c r="E166" s="738">
        <v>-37</v>
      </c>
      <c r="F166" s="738" t="s">
        <v>1904</v>
      </c>
      <c r="G166" s="738" t="s">
        <v>374</v>
      </c>
      <c r="H166" s="738">
        <v>2030</v>
      </c>
      <c r="I166" s="738" t="s">
        <v>784</v>
      </c>
      <c r="K166" s="385" t="s">
        <v>31</v>
      </c>
      <c r="M166" s="385"/>
      <c r="N166" s="764"/>
      <c r="O166" s="765"/>
      <c r="P166" s="106"/>
      <c r="Q166" s="772"/>
      <c r="R166" s="765"/>
    </row>
    <row r="167" spans="1:21" s="385" customFormat="1" x14ac:dyDescent="0.25">
      <c r="A167" s="534" t="str">
        <f t="shared" si="3"/>
        <v>Mexico-3a</v>
      </c>
      <c r="B167" s="8" t="str">
        <f>HYPERLINK('High impact policies'!B323)</f>
        <v>3a</v>
      </c>
      <c r="C167" s="385" t="s">
        <v>15</v>
      </c>
      <c r="D167" s="385" t="s">
        <v>2029</v>
      </c>
      <c r="E167" s="385">
        <v>7.1</v>
      </c>
      <c r="F167" s="385" t="s">
        <v>2030</v>
      </c>
      <c r="H167" s="385">
        <v>2018</v>
      </c>
      <c r="I167" s="385" t="s">
        <v>337</v>
      </c>
      <c r="J167" s="385" t="s">
        <v>2031</v>
      </c>
      <c r="K167" s="756" t="s">
        <v>32</v>
      </c>
      <c r="L167" s="756"/>
      <c r="N167" s="764">
        <v>8.0022568359374997</v>
      </c>
      <c r="O167" s="765">
        <v>7.5717177734375003</v>
      </c>
      <c r="P167" s="106">
        <v>-5.3802204968788639E-2</v>
      </c>
      <c r="Q167" s="772">
        <v>-0.4305390624999994</v>
      </c>
      <c r="R167" s="765">
        <v>-0.3012196864998764</v>
      </c>
      <c r="S167" s="755">
        <v>2020</v>
      </c>
      <c r="T167" s="755" t="s">
        <v>301</v>
      </c>
      <c r="U167" s="755" t="s">
        <v>2189</v>
      </c>
    </row>
    <row r="168" spans="1:21" s="385" customFormat="1" x14ac:dyDescent="0.25">
      <c r="A168" s="534" t="str">
        <f t="shared" si="3"/>
        <v>Mexico-10a</v>
      </c>
      <c r="B168" s="8" t="str">
        <f>HYPERLINK('High impact policies'!B330)</f>
        <v>10a</v>
      </c>
      <c r="C168" s="385" t="s">
        <v>15</v>
      </c>
      <c r="D168" s="385" t="s">
        <v>1913</v>
      </c>
      <c r="E168" s="385">
        <v>25</v>
      </c>
      <c r="F168" s="385" t="s">
        <v>1904</v>
      </c>
      <c r="H168" s="385">
        <v>2018</v>
      </c>
      <c r="I168" s="385" t="s">
        <v>337</v>
      </c>
      <c r="K168" s="756" t="s">
        <v>31</v>
      </c>
      <c r="L168" s="756"/>
      <c r="N168" s="764"/>
      <c r="O168" s="765"/>
      <c r="P168" s="521"/>
      <c r="Q168" s="772"/>
      <c r="R168" s="765"/>
      <c r="S168" s="755"/>
      <c r="T168" s="755"/>
      <c r="U168" s="755"/>
    </row>
    <row r="169" spans="1:21" s="385" customFormat="1" x14ac:dyDescent="0.25">
      <c r="A169" s="534" t="str">
        <f t="shared" si="3"/>
        <v>Mexico-10b</v>
      </c>
      <c r="B169" s="8" t="str">
        <f>HYPERLINK('High impact policies'!B331)</f>
        <v>10b</v>
      </c>
      <c r="C169" s="385" t="s">
        <v>15</v>
      </c>
      <c r="D169" s="385" t="s">
        <v>1913</v>
      </c>
      <c r="E169" s="385">
        <v>30</v>
      </c>
      <c r="F169" s="385" t="s">
        <v>1904</v>
      </c>
      <c r="H169" s="385">
        <v>2021</v>
      </c>
      <c r="I169" s="385" t="s">
        <v>337</v>
      </c>
      <c r="K169" s="756" t="s">
        <v>31</v>
      </c>
      <c r="L169" s="756"/>
      <c r="N169" s="764"/>
      <c r="O169" s="765"/>
      <c r="P169" s="521"/>
      <c r="Q169" s="772"/>
      <c r="R169" s="765"/>
      <c r="S169" s="755"/>
      <c r="T169" s="755"/>
      <c r="U169" s="755"/>
    </row>
    <row r="170" spans="1:21" s="385" customFormat="1" x14ac:dyDescent="0.25">
      <c r="A170" s="534" t="str">
        <f t="shared" si="3"/>
        <v>Mexico-10c</v>
      </c>
      <c r="B170" s="8" t="str">
        <f>HYPERLINK('High impact policies'!B332)</f>
        <v>10c</v>
      </c>
      <c r="C170" s="385" t="s">
        <v>15</v>
      </c>
      <c r="D170" s="385" t="s">
        <v>1913</v>
      </c>
      <c r="E170" s="385">
        <v>35</v>
      </c>
      <c r="F170" s="385" t="s">
        <v>1904</v>
      </c>
      <c r="H170" s="385">
        <v>2024</v>
      </c>
      <c r="I170" s="385" t="s">
        <v>337</v>
      </c>
      <c r="K170" s="756" t="s">
        <v>31</v>
      </c>
      <c r="L170" s="756"/>
      <c r="N170" s="764"/>
      <c r="O170" s="765"/>
      <c r="P170" s="521"/>
      <c r="Q170" s="772"/>
      <c r="R170" s="765"/>
      <c r="S170" s="755"/>
      <c r="T170" s="755"/>
      <c r="U170" s="755"/>
    </row>
    <row r="171" spans="1:21" s="385" customFormat="1" x14ac:dyDescent="0.25">
      <c r="A171" s="534" t="str">
        <f t="shared" si="3"/>
        <v>Mexico-6a</v>
      </c>
      <c r="B171" s="8" t="str">
        <f>HYPERLINK('High impact policies'!B324)</f>
        <v>6a</v>
      </c>
      <c r="C171" s="385" t="s">
        <v>15</v>
      </c>
      <c r="D171" s="385" t="s">
        <v>2032</v>
      </c>
      <c r="E171" s="385">
        <v>-73</v>
      </c>
      <c r="F171" s="385" t="s">
        <v>1917</v>
      </c>
      <c r="G171" s="385" t="s">
        <v>1943</v>
      </c>
      <c r="H171" s="385">
        <v>2020</v>
      </c>
      <c r="I171" s="385" t="s">
        <v>337</v>
      </c>
      <c r="K171" s="756" t="s">
        <v>31</v>
      </c>
      <c r="L171" s="756"/>
      <c r="N171" s="764"/>
      <c r="O171" s="765"/>
      <c r="P171" s="521"/>
      <c r="Q171" s="772"/>
      <c r="R171" s="765"/>
      <c r="S171" s="755"/>
      <c r="T171" s="755"/>
      <c r="U171" s="755"/>
    </row>
    <row r="172" spans="1:21" s="385" customFormat="1" x14ac:dyDescent="0.25">
      <c r="A172" s="534" t="str">
        <f t="shared" si="3"/>
        <v>Mexico-6b</v>
      </c>
      <c r="B172" s="8" t="str">
        <f>HYPERLINK('High impact policies'!B325)</f>
        <v>6b</v>
      </c>
      <c r="C172" s="385" t="s">
        <v>15</v>
      </c>
      <c r="D172" s="385" t="s">
        <v>2032</v>
      </c>
      <c r="E172" s="385">
        <v>-92</v>
      </c>
      <c r="F172" s="385" t="s">
        <v>1917</v>
      </c>
      <c r="G172" s="385" t="s">
        <v>1943</v>
      </c>
      <c r="H172" s="385">
        <v>2030</v>
      </c>
      <c r="I172" s="385" t="s">
        <v>337</v>
      </c>
      <c r="K172" s="756" t="s">
        <v>31</v>
      </c>
      <c r="L172" s="756"/>
      <c r="N172" s="764"/>
      <c r="O172" s="765"/>
      <c r="P172" s="521"/>
      <c r="Q172" s="772"/>
      <c r="R172" s="765"/>
      <c r="S172" s="755"/>
      <c r="T172" s="755"/>
      <c r="U172" s="755"/>
    </row>
    <row r="173" spans="1:21" s="385" customFormat="1" x14ac:dyDescent="0.25">
      <c r="A173" s="534" t="str">
        <f t="shared" si="3"/>
        <v>Mexico-7</v>
      </c>
      <c r="B173" s="8" t="str">
        <f>HYPERLINK('High impact policies'!B328)</f>
        <v>7</v>
      </c>
      <c r="C173" s="703" t="s">
        <v>15</v>
      </c>
      <c r="D173" s="703" t="s">
        <v>2034</v>
      </c>
      <c r="E173" s="703">
        <v>3.5</v>
      </c>
      <c r="F173" s="703" t="s">
        <v>2033</v>
      </c>
      <c r="G173" s="703">
        <v>2014</v>
      </c>
      <c r="H173" s="703"/>
      <c r="I173" s="703" t="s">
        <v>1946</v>
      </c>
      <c r="K173" s="756" t="s">
        <v>32</v>
      </c>
      <c r="L173" s="756" t="s">
        <v>32</v>
      </c>
      <c r="M173" s="385" t="s">
        <v>32</v>
      </c>
      <c r="N173" s="768">
        <v>7.7817489013671874</v>
      </c>
      <c r="O173" s="769">
        <v>6.8531778564453125</v>
      </c>
      <c r="P173" s="770">
        <v>-0.11932678073931849</v>
      </c>
      <c r="Q173" s="771">
        <v>-0.92857104492187492</v>
      </c>
      <c r="R173" s="769">
        <v>-0.55019819620122878</v>
      </c>
      <c r="S173" s="755">
        <v>2025</v>
      </c>
      <c r="T173" s="755" t="s">
        <v>301</v>
      </c>
      <c r="U173" s="755" t="s">
        <v>2190</v>
      </c>
    </row>
    <row r="174" spans="1:21" s="385" customFormat="1" x14ac:dyDescent="0.25">
      <c r="A174" s="534" t="str">
        <f t="shared" si="3"/>
        <v>Mexico-1</v>
      </c>
      <c r="B174" s="8" t="str">
        <f>HYPERLINK('High impact policies'!B321)</f>
        <v>1</v>
      </c>
      <c r="C174" s="385" t="s">
        <v>15</v>
      </c>
      <c r="D174" s="385" t="s">
        <v>2278</v>
      </c>
      <c r="E174" s="385" t="s">
        <v>2035</v>
      </c>
      <c r="F174" s="385" t="s">
        <v>1413</v>
      </c>
      <c r="G174" s="385">
        <v>2016</v>
      </c>
      <c r="I174" s="385" t="s">
        <v>337</v>
      </c>
      <c r="K174" s="756" t="s">
        <v>32</v>
      </c>
      <c r="L174" s="756" t="s">
        <v>32</v>
      </c>
      <c r="M174" s="23" t="s">
        <v>32</v>
      </c>
      <c r="N174" s="774">
        <v>1.5354530560000001</v>
      </c>
      <c r="O174" s="775">
        <v>1.536</v>
      </c>
      <c r="P174" s="776">
        <v>3.5621017383932486E-4</v>
      </c>
      <c r="Q174" s="777">
        <v>-5.4694399999988264E-4</v>
      </c>
      <c r="R174" s="775">
        <v>-1.7081225279607773E-2</v>
      </c>
      <c r="S174" s="755">
        <v>2025</v>
      </c>
      <c r="T174" s="755" t="s">
        <v>301</v>
      </c>
      <c r="U174" s="755" t="s">
        <v>2170</v>
      </c>
    </row>
    <row r="175" spans="1:21" s="385" customFormat="1" x14ac:dyDescent="0.25">
      <c r="A175" s="534" t="str">
        <f t="shared" si="3"/>
        <v>Mexico-8g</v>
      </c>
      <c r="B175" s="8" t="str">
        <f>HYPERLINK('High impact policies'!B342)</f>
        <v>8g</v>
      </c>
      <c r="C175" s="385" t="s">
        <v>15</v>
      </c>
      <c r="D175" s="385" t="s">
        <v>2037</v>
      </c>
      <c r="E175" s="385">
        <v>-8.75</v>
      </c>
      <c r="F175" s="385" t="s">
        <v>1917</v>
      </c>
      <c r="G175" s="385" t="s">
        <v>1943</v>
      </c>
      <c r="H175" s="385">
        <v>2018</v>
      </c>
      <c r="I175" s="385" t="s">
        <v>337</v>
      </c>
      <c r="K175" s="756" t="s">
        <v>2163</v>
      </c>
      <c r="L175" s="756"/>
      <c r="N175" s="764"/>
      <c r="O175" s="765"/>
      <c r="P175" s="521"/>
      <c r="Q175" s="772"/>
      <c r="R175" s="765"/>
      <c r="S175" s="755"/>
      <c r="T175" s="755"/>
      <c r="U175" s="755"/>
    </row>
    <row r="176" spans="1:21" s="385" customFormat="1" x14ac:dyDescent="0.25">
      <c r="A176" s="534" t="str">
        <f t="shared" si="3"/>
        <v>Mexico-8h</v>
      </c>
      <c r="B176" s="8" t="str">
        <f>HYPERLINK('High impact policies'!B343)</f>
        <v>8h</v>
      </c>
      <c r="C176" s="703" t="s">
        <v>15</v>
      </c>
      <c r="D176" s="703" t="s">
        <v>2038</v>
      </c>
      <c r="E176" s="703">
        <v>30</v>
      </c>
      <c r="F176" s="703" t="s">
        <v>1904</v>
      </c>
      <c r="G176" s="703">
        <v>2012</v>
      </c>
      <c r="H176" s="703">
        <v>2018</v>
      </c>
      <c r="I176" s="703" t="s">
        <v>1946</v>
      </c>
      <c r="K176" s="756" t="s">
        <v>2163</v>
      </c>
      <c r="L176" s="756"/>
      <c r="N176" s="764"/>
      <c r="O176" s="765"/>
      <c r="P176" s="521"/>
      <c r="Q176" s="772"/>
      <c r="R176" s="765"/>
      <c r="S176" s="755"/>
      <c r="T176" s="755"/>
      <c r="U176" s="755"/>
    </row>
    <row r="177" spans="1:21" s="385" customFormat="1" x14ac:dyDescent="0.25">
      <c r="A177" s="534" t="str">
        <f t="shared" si="3"/>
        <v>Russian Federation-3b</v>
      </c>
      <c r="B177" s="8" t="str">
        <f>HYPERLINK('High impact policies'!B353)</f>
        <v>3b</v>
      </c>
      <c r="C177" s="385" t="s">
        <v>181</v>
      </c>
      <c r="D177" s="385" t="s">
        <v>1913</v>
      </c>
      <c r="E177" s="385">
        <v>2.5</v>
      </c>
      <c r="F177" s="385" t="s">
        <v>1904</v>
      </c>
      <c r="H177" s="385">
        <v>2020</v>
      </c>
      <c r="I177" s="385" t="s">
        <v>337</v>
      </c>
      <c r="K177" s="756" t="s">
        <v>31</v>
      </c>
      <c r="L177" s="756"/>
      <c r="N177" s="764"/>
      <c r="O177" s="765"/>
      <c r="P177" s="521"/>
      <c r="Q177" s="772"/>
      <c r="R177" s="765"/>
      <c r="S177" s="755"/>
      <c r="T177" s="755"/>
      <c r="U177" s="755"/>
    </row>
    <row r="178" spans="1:21" s="385" customFormat="1" x14ac:dyDescent="0.25">
      <c r="A178" s="534" t="str">
        <f t="shared" si="3"/>
        <v>Russian Federation-6b</v>
      </c>
      <c r="B178" s="8" t="str">
        <f>HYPERLINK('High impact policies'!B362)</f>
        <v>6b</v>
      </c>
      <c r="C178" s="385" t="s">
        <v>181</v>
      </c>
      <c r="D178" s="385" t="s">
        <v>1929</v>
      </c>
      <c r="E178" s="385">
        <v>3600</v>
      </c>
      <c r="F178" s="385" t="s">
        <v>1910</v>
      </c>
      <c r="H178" s="385">
        <v>2020</v>
      </c>
      <c r="I178" s="385" t="s">
        <v>337</v>
      </c>
      <c r="K178" s="756" t="s">
        <v>32</v>
      </c>
      <c r="L178" s="756" t="s">
        <v>32</v>
      </c>
      <c r="M178" s="385" t="s">
        <v>32</v>
      </c>
      <c r="N178" s="768">
        <v>3.9182090000000006E-3</v>
      </c>
      <c r="O178" s="769">
        <v>3.593234E-2</v>
      </c>
      <c r="P178" s="770">
        <v>8.1706032016158385</v>
      </c>
      <c r="Q178" s="771">
        <v>3.2014131000000001E-2</v>
      </c>
      <c r="R178" s="769">
        <v>2.090169809024409E-2</v>
      </c>
      <c r="S178" s="755">
        <v>2020</v>
      </c>
      <c r="T178" s="755" t="s">
        <v>182</v>
      </c>
      <c r="U178" s="755" t="s">
        <v>2168</v>
      </c>
    </row>
    <row r="179" spans="1:21" s="385" customFormat="1" x14ac:dyDescent="0.25">
      <c r="A179" s="534" t="str">
        <f t="shared" si="3"/>
        <v>Russian Federation-6c</v>
      </c>
      <c r="B179" s="8" t="str">
        <f>HYPERLINK('High impact policies'!B363)</f>
        <v>6c</v>
      </c>
      <c r="C179" s="385" t="s">
        <v>181</v>
      </c>
      <c r="D179" s="385" t="s">
        <v>1928</v>
      </c>
      <c r="E179" s="385">
        <v>1520</v>
      </c>
      <c r="F179" s="385" t="s">
        <v>1910</v>
      </c>
      <c r="H179" s="385">
        <v>2020</v>
      </c>
      <c r="I179" s="385" t="s">
        <v>337</v>
      </c>
      <c r="K179" s="756" t="s">
        <v>32</v>
      </c>
      <c r="L179" s="756" t="s">
        <v>32</v>
      </c>
      <c r="M179" s="385" t="s">
        <v>32</v>
      </c>
      <c r="N179" s="768">
        <v>2.492546E-3</v>
      </c>
      <c r="O179" s="769">
        <v>8.2056410000000014E-3</v>
      </c>
      <c r="P179" s="770">
        <v>2.292072042000429</v>
      </c>
      <c r="Q179" s="771">
        <v>5.7130950000000014E-3</v>
      </c>
      <c r="R179" s="769">
        <v>3.7300211850474123E-3</v>
      </c>
      <c r="S179" s="755">
        <v>2020</v>
      </c>
      <c r="T179" s="755" t="s">
        <v>182</v>
      </c>
      <c r="U179" s="755" t="s">
        <v>2167</v>
      </c>
    </row>
    <row r="180" spans="1:21" s="385" customFormat="1" x14ac:dyDescent="0.25">
      <c r="A180" s="534" t="str">
        <f t="shared" si="3"/>
        <v>Russian Federation-6d</v>
      </c>
      <c r="B180" s="8" t="str">
        <f>HYPERLINK('High impact policies'!B364)</f>
        <v>6d</v>
      </c>
      <c r="C180" s="385" t="s">
        <v>181</v>
      </c>
      <c r="D180" s="385" t="s">
        <v>1926</v>
      </c>
      <c r="E180" s="385">
        <v>75</v>
      </c>
      <c r="F180" s="385" t="s">
        <v>1910</v>
      </c>
      <c r="H180" s="385">
        <v>2020</v>
      </c>
      <c r="I180" s="385" t="s">
        <v>337</v>
      </c>
      <c r="K180" s="756" t="s">
        <v>32</v>
      </c>
      <c r="L180" s="756"/>
      <c r="N180" s="757" t="s">
        <v>685</v>
      </c>
      <c r="O180" s="758" t="s">
        <v>685</v>
      </c>
      <c r="P180" s="521" t="s">
        <v>685</v>
      </c>
      <c r="Q180" s="785" t="s">
        <v>685</v>
      </c>
      <c r="R180" s="765" t="s">
        <v>685</v>
      </c>
      <c r="S180" s="755"/>
      <c r="T180" s="755"/>
      <c r="U180" s="755"/>
    </row>
    <row r="181" spans="1:21" s="713" customFormat="1" x14ac:dyDescent="0.25">
      <c r="A181" s="534" t="str">
        <f t="shared" si="3"/>
        <v>Russian Federation-3a</v>
      </c>
      <c r="B181" s="8" t="str">
        <f>HYPERLINK('High impact policies'!B352)</f>
        <v>3a</v>
      </c>
      <c r="C181" s="385" t="s">
        <v>181</v>
      </c>
      <c r="D181" s="385" t="s">
        <v>2029</v>
      </c>
      <c r="E181" s="709">
        <v>-13.5</v>
      </c>
      <c r="F181" s="385" t="s">
        <v>1904</v>
      </c>
      <c r="G181" s="385">
        <v>2007</v>
      </c>
      <c r="H181" s="385">
        <v>2020</v>
      </c>
      <c r="I181" s="385" t="s">
        <v>337</v>
      </c>
      <c r="J181" s="23" t="s">
        <v>2127</v>
      </c>
      <c r="K181" s="755" t="s">
        <v>32</v>
      </c>
      <c r="L181" s="755" t="s">
        <v>685</v>
      </c>
      <c r="M181" s="534"/>
      <c r="N181" s="757"/>
      <c r="O181" s="758"/>
      <c r="P181" s="521"/>
      <c r="Q181" s="772"/>
      <c r="R181" s="765"/>
      <c r="S181" s="755"/>
      <c r="T181" s="755"/>
      <c r="U181" s="755"/>
    </row>
    <row r="182" spans="1:21" s="385" customFormat="1" x14ac:dyDescent="0.25">
      <c r="A182" s="534" t="str">
        <f t="shared" si="3"/>
        <v>Russian Federation-2</v>
      </c>
      <c r="B182" s="8" t="str">
        <f>HYPERLINK('High impact policies'!B351)</f>
        <v>2</v>
      </c>
      <c r="C182" s="385" t="s">
        <v>181</v>
      </c>
      <c r="D182" s="385" t="s">
        <v>1261</v>
      </c>
      <c r="E182" s="385">
        <v>5</v>
      </c>
      <c r="F182" s="385" t="s">
        <v>1904</v>
      </c>
      <c r="G182" s="385">
        <v>2012</v>
      </c>
      <c r="I182" s="385" t="s">
        <v>337</v>
      </c>
      <c r="J182" s="385" t="s">
        <v>2039</v>
      </c>
      <c r="K182" s="756" t="s">
        <v>31</v>
      </c>
      <c r="L182" s="756"/>
      <c r="N182" s="757"/>
      <c r="O182" s="758"/>
      <c r="P182" s="521"/>
      <c r="Q182" s="772"/>
      <c r="R182" s="765"/>
      <c r="S182" s="755"/>
      <c r="T182" s="755"/>
      <c r="U182" s="755"/>
    </row>
    <row r="183" spans="1:21" s="385" customFormat="1" x14ac:dyDescent="0.25">
      <c r="A183" s="534" t="str">
        <f t="shared" si="3"/>
        <v>Russian Federation-2</v>
      </c>
      <c r="B183" s="385" t="str">
        <f>$B$182</f>
        <v>2</v>
      </c>
      <c r="C183" s="706" t="s">
        <v>181</v>
      </c>
      <c r="D183" s="706" t="s">
        <v>1261</v>
      </c>
      <c r="E183" s="714" t="s">
        <v>2072</v>
      </c>
      <c r="F183" s="706" t="s">
        <v>1917</v>
      </c>
      <c r="G183" s="706">
        <v>2012</v>
      </c>
      <c r="H183" s="706"/>
      <c r="I183" s="706" t="s">
        <v>337</v>
      </c>
      <c r="J183" s="706"/>
      <c r="K183" s="756" t="s">
        <v>31</v>
      </c>
      <c r="L183" s="756"/>
      <c r="N183" s="757"/>
      <c r="O183" s="758"/>
      <c r="P183" s="521"/>
      <c r="Q183" s="772"/>
      <c r="R183" s="765"/>
      <c r="S183" s="755"/>
      <c r="T183" s="755"/>
      <c r="U183" s="755"/>
    </row>
    <row r="184" spans="1:21" s="385" customFormat="1" x14ac:dyDescent="0.25">
      <c r="A184" s="534" t="str">
        <f t="shared" si="3"/>
        <v>Russian Federation-4d</v>
      </c>
      <c r="B184" s="8" t="str">
        <f>HYPERLINK('High impact policies'!B355)</f>
        <v>4d</v>
      </c>
      <c r="C184" s="703" t="s">
        <v>181</v>
      </c>
      <c r="D184" s="703" t="s">
        <v>1930</v>
      </c>
      <c r="E184" s="703"/>
      <c r="F184" s="703"/>
      <c r="G184" s="703">
        <v>2014</v>
      </c>
      <c r="H184" s="703"/>
      <c r="I184" s="703" t="s">
        <v>1946</v>
      </c>
      <c r="J184" s="703" t="s">
        <v>1273</v>
      </c>
      <c r="K184" s="756" t="s">
        <v>32</v>
      </c>
      <c r="L184" s="756" t="s">
        <v>32</v>
      </c>
      <c r="M184" s="385" t="s">
        <v>32</v>
      </c>
      <c r="N184" s="768">
        <v>7.075456787109375</v>
      </c>
      <c r="O184" s="769">
        <v>7.0586408691406248</v>
      </c>
      <c r="P184" s="770">
        <v>-2.3766547481975601E-3</v>
      </c>
      <c r="Q184" s="771">
        <v>-1.6815917968750149E-2</v>
      </c>
      <c r="R184" s="769">
        <v>-9.1212698405310922E-3</v>
      </c>
      <c r="S184" s="755">
        <v>2025</v>
      </c>
      <c r="T184" s="755" t="s">
        <v>182</v>
      </c>
      <c r="U184" s="755" t="s">
        <v>2176</v>
      </c>
    </row>
    <row r="185" spans="1:21" s="385" customFormat="1" x14ac:dyDescent="0.25">
      <c r="A185" s="534" t="str">
        <f t="shared" si="3"/>
        <v>Saudi Arabia-1</v>
      </c>
      <c r="B185" s="8" t="str">
        <f>HYPERLINK('High impact policies'!B372)</f>
        <v>1</v>
      </c>
      <c r="C185" s="385" t="s">
        <v>17</v>
      </c>
      <c r="D185" s="385" t="s">
        <v>2041</v>
      </c>
      <c r="E185" s="385" t="s">
        <v>2040</v>
      </c>
      <c r="F185" s="385" t="s">
        <v>1413</v>
      </c>
      <c r="H185" s="385">
        <v>2020</v>
      </c>
      <c r="I185" s="385" t="s">
        <v>337</v>
      </c>
      <c r="K185" s="756" t="s">
        <v>32</v>
      </c>
      <c r="L185" s="756" t="s">
        <v>685</v>
      </c>
      <c r="M185" s="385" t="s">
        <v>685</v>
      </c>
      <c r="N185" s="774">
        <v>5.0599280640000002</v>
      </c>
      <c r="O185" s="775">
        <v>5.0610457600000007</v>
      </c>
      <c r="P185" s="776">
        <v>2.2089167787831942E-4</v>
      </c>
      <c r="Q185" s="777">
        <v>1.1176960000005565E-3</v>
      </c>
      <c r="R185" s="775">
        <v>5.0921193750040692E-4</v>
      </c>
      <c r="S185" s="755">
        <v>2020</v>
      </c>
      <c r="T185" s="755" t="s">
        <v>161</v>
      </c>
      <c r="U185" s="755" t="s">
        <v>2171</v>
      </c>
    </row>
    <row r="186" spans="1:21" s="385" customFormat="1" x14ac:dyDescent="0.25">
      <c r="A186" s="534" t="str">
        <f t="shared" si="3"/>
        <v>Saudi Arabia-1</v>
      </c>
      <c r="B186" s="8" t="str">
        <f>HYPERLINK('High impact policies'!B372)</f>
        <v>1</v>
      </c>
      <c r="C186" s="385" t="s">
        <v>17</v>
      </c>
      <c r="D186" s="385" t="s">
        <v>2273</v>
      </c>
      <c r="E186" s="385" t="s">
        <v>2042</v>
      </c>
      <c r="F186" s="385" t="s">
        <v>1413</v>
      </c>
      <c r="H186" s="385">
        <v>2020</v>
      </c>
      <c r="I186" s="385" t="s">
        <v>337</v>
      </c>
      <c r="K186" s="756" t="s">
        <v>32</v>
      </c>
      <c r="L186" s="756" t="s">
        <v>32</v>
      </c>
      <c r="M186" s="23" t="s">
        <v>32</v>
      </c>
      <c r="N186" s="774">
        <v>2.280321024</v>
      </c>
      <c r="O186" s="775">
        <v>2.2806241280000004</v>
      </c>
      <c r="P186" s="776">
        <v>1.3292163551105845E-4</v>
      </c>
      <c r="Q186" s="777">
        <v>3.0310400000033155E-4</v>
      </c>
      <c r="R186" s="775">
        <v>1.3809137288154857E-4</v>
      </c>
      <c r="S186" s="755">
        <v>2020</v>
      </c>
      <c r="T186" s="755" t="s">
        <v>161</v>
      </c>
      <c r="U186" s="755" t="s">
        <v>2170</v>
      </c>
    </row>
    <row r="187" spans="1:21" s="385" customFormat="1" x14ac:dyDescent="0.25">
      <c r="A187" s="534" t="str">
        <f t="shared" si="3"/>
        <v>South Africa-1c</v>
      </c>
      <c r="B187" s="8" t="str">
        <f>HYPERLINK('High impact policies'!B388)</f>
        <v>1c</v>
      </c>
      <c r="C187" s="385" t="s">
        <v>19</v>
      </c>
      <c r="D187" s="385" t="s">
        <v>1929</v>
      </c>
      <c r="E187" s="385">
        <v>9.1999999999999993</v>
      </c>
      <c r="F187" s="385" t="s">
        <v>1883</v>
      </c>
      <c r="G187" s="385">
        <v>2010</v>
      </c>
      <c r="H187" s="385">
        <v>2030</v>
      </c>
      <c r="I187" s="385" t="s">
        <v>337</v>
      </c>
      <c r="J187" s="385" t="s">
        <v>2043</v>
      </c>
      <c r="K187" s="756" t="s">
        <v>32</v>
      </c>
      <c r="L187" s="756" t="s">
        <v>32</v>
      </c>
      <c r="M187" s="385" t="s">
        <v>32</v>
      </c>
      <c r="N187" s="768">
        <v>6.7891939999999998E-2</v>
      </c>
      <c r="O187" s="769">
        <v>9.4021038000000001E-2</v>
      </c>
      <c r="P187" s="770">
        <v>0.38486303381520698</v>
      </c>
      <c r="Q187" s="771">
        <v>2.6129098000000003E-2</v>
      </c>
      <c r="R187" s="769">
        <v>3.7099427570356981E-2</v>
      </c>
      <c r="S187" s="755">
        <v>2030</v>
      </c>
      <c r="T187" s="755" t="s">
        <v>2191</v>
      </c>
      <c r="U187" s="755" t="s">
        <v>2168</v>
      </c>
    </row>
    <row r="188" spans="1:21" s="385" customFormat="1" x14ac:dyDescent="0.25">
      <c r="A188" s="534" t="str">
        <f t="shared" si="3"/>
        <v>South Africa-1d</v>
      </c>
      <c r="B188" s="8" t="str">
        <f>HYPERLINK('High impact policies'!B389)</f>
        <v>1d</v>
      </c>
      <c r="C188" s="385" t="s">
        <v>19</v>
      </c>
      <c r="D188" s="385" t="s">
        <v>2044</v>
      </c>
      <c r="E188" s="385">
        <v>1</v>
      </c>
      <c r="F188" s="385" t="s">
        <v>1883</v>
      </c>
      <c r="G188" s="385">
        <v>2010</v>
      </c>
      <c r="H188" s="385">
        <v>2030</v>
      </c>
      <c r="I188" s="385" t="s">
        <v>337</v>
      </c>
      <c r="J188" s="385" t="s">
        <v>2043</v>
      </c>
      <c r="K188" s="756" t="s">
        <v>32</v>
      </c>
      <c r="L188" s="756" t="s">
        <v>32</v>
      </c>
      <c r="M188" s="385" t="s">
        <v>32</v>
      </c>
      <c r="N188" s="768">
        <v>1.0872140000000001E-2</v>
      </c>
      <c r="O188" s="769">
        <v>2.375201E-2</v>
      </c>
      <c r="P188" s="770">
        <v>1.1846674159825019</v>
      </c>
      <c r="Q188" s="771">
        <v>1.287987E-2</v>
      </c>
      <c r="R188" s="769">
        <v>1.828749711071594E-2</v>
      </c>
      <c r="S188" s="755">
        <v>2030</v>
      </c>
      <c r="T188" s="755" t="s">
        <v>2191</v>
      </c>
      <c r="U188" s="755" t="s">
        <v>2192</v>
      </c>
    </row>
    <row r="189" spans="1:21" s="385" customFormat="1" x14ac:dyDescent="0.25">
      <c r="A189" s="534" t="str">
        <f t="shared" si="3"/>
        <v>South Africa-1e</v>
      </c>
      <c r="B189" s="8" t="str">
        <f>HYPERLINK('High impact policies'!B390)</f>
        <v>1e</v>
      </c>
      <c r="C189" s="385" t="s">
        <v>19</v>
      </c>
      <c r="D189" s="385" t="s">
        <v>1959</v>
      </c>
      <c r="E189" s="385">
        <v>8.4</v>
      </c>
      <c r="F189" s="385" t="s">
        <v>1883</v>
      </c>
      <c r="G189" s="385">
        <v>2010</v>
      </c>
      <c r="H189" s="385">
        <v>2030</v>
      </c>
      <c r="I189" s="385" t="s">
        <v>337</v>
      </c>
      <c r="J189" s="385" t="s">
        <v>2043</v>
      </c>
      <c r="K189" s="756" t="s">
        <v>32</v>
      </c>
      <c r="L189" s="756" t="s">
        <v>32</v>
      </c>
      <c r="M189" s="385" t="s">
        <v>32</v>
      </c>
      <c r="N189" s="768">
        <v>8.2600303999999999E-2</v>
      </c>
      <c r="O189" s="769">
        <v>9.7047936000000001E-2</v>
      </c>
      <c r="P189" s="770">
        <v>0.17491015529434373</v>
      </c>
      <c r="Q189" s="771">
        <v>1.4447632000000002E-2</v>
      </c>
      <c r="R189" s="769">
        <v>2.0513485652936498E-2</v>
      </c>
      <c r="S189" s="755">
        <v>2030</v>
      </c>
      <c r="T189" s="755" t="s">
        <v>2191</v>
      </c>
      <c r="U189" s="755" t="s">
        <v>2173</v>
      </c>
    </row>
    <row r="190" spans="1:21" s="385" customFormat="1" x14ac:dyDescent="0.25">
      <c r="A190" s="534" t="str">
        <f t="shared" si="3"/>
        <v>South Africa-1a</v>
      </c>
      <c r="B190" s="8" t="str">
        <f>HYPERLINK('High impact policies'!B386)</f>
        <v>1a</v>
      </c>
      <c r="C190" s="706" t="s">
        <v>19</v>
      </c>
      <c r="D190" s="706" t="s">
        <v>2045</v>
      </c>
      <c r="E190" s="706">
        <v>21</v>
      </c>
      <c r="F190" s="706" t="s">
        <v>1904</v>
      </c>
      <c r="G190" s="706"/>
      <c r="H190" s="706">
        <v>2030</v>
      </c>
      <c r="I190" s="706" t="s">
        <v>1945</v>
      </c>
      <c r="K190" s="756" t="s">
        <v>31</v>
      </c>
      <c r="L190" s="756"/>
      <c r="N190" s="764"/>
      <c r="O190" s="765"/>
      <c r="P190" s="521"/>
      <c r="Q190" s="772"/>
      <c r="R190" s="765"/>
      <c r="S190" s="755"/>
      <c r="T190" s="755"/>
      <c r="U190" s="755"/>
    </row>
    <row r="191" spans="1:21" s="385" customFormat="1" x14ac:dyDescent="0.25">
      <c r="A191" s="534" t="str">
        <f t="shared" si="3"/>
        <v>South Africa-1a</v>
      </c>
      <c r="B191" s="385" t="str">
        <f>$B$190</f>
        <v>1a</v>
      </c>
      <c r="C191" s="706" t="s">
        <v>19</v>
      </c>
      <c r="D191" s="706" t="s">
        <v>2046</v>
      </c>
      <c r="E191" s="706">
        <v>26.3</v>
      </c>
      <c r="F191" s="706" t="s">
        <v>1904</v>
      </c>
      <c r="G191" s="706"/>
      <c r="H191" s="706">
        <v>2030</v>
      </c>
      <c r="I191" s="706" t="s">
        <v>1945</v>
      </c>
      <c r="K191" s="756" t="s">
        <v>31</v>
      </c>
      <c r="L191" s="756"/>
      <c r="N191" s="764"/>
      <c r="O191" s="765"/>
      <c r="P191" s="521"/>
      <c r="Q191" s="772"/>
      <c r="R191" s="765"/>
      <c r="S191" s="755"/>
      <c r="T191" s="755"/>
      <c r="U191" s="755"/>
    </row>
    <row r="192" spans="1:21" s="385" customFormat="1" x14ac:dyDescent="0.25">
      <c r="A192" s="534" t="str">
        <f t="shared" si="3"/>
        <v>South Africa-4</v>
      </c>
      <c r="B192" s="8" t="str">
        <f>HYPERLINK('High impact policies'!B393)</f>
        <v>4</v>
      </c>
      <c r="C192" s="385" t="s">
        <v>19</v>
      </c>
      <c r="D192" s="385" t="s">
        <v>1931</v>
      </c>
      <c r="E192" s="385">
        <v>5</v>
      </c>
      <c r="F192" s="385" t="s">
        <v>1904</v>
      </c>
      <c r="G192" s="385">
        <v>2015</v>
      </c>
      <c r="I192" s="385" t="s">
        <v>337</v>
      </c>
      <c r="K192" s="756" t="s">
        <v>32</v>
      </c>
      <c r="L192" s="756" t="s">
        <v>32</v>
      </c>
      <c r="M192" s="385" t="s">
        <v>32</v>
      </c>
      <c r="N192" s="768">
        <v>0.10051709747314454</v>
      </c>
      <c r="O192" s="769">
        <v>0.10715809631347656</v>
      </c>
      <c r="P192" s="770">
        <v>6.6068350631655656E-2</v>
      </c>
      <c r="Q192" s="771">
        <v>6.6409988403320214E-3</v>
      </c>
      <c r="R192" s="769">
        <v>1.1459883601842505E-2</v>
      </c>
      <c r="S192" s="755">
        <v>2025</v>
      </c>
      <c r="T192" s="755" t="s">
        <v>2191</v>
      </c>
      <c r="U192" s="755" t="s">
        <v>2162</v>
      </c>
    </row>
    <row r="193" spans="1:21" s="385" customFormat="1" x14ac:dyDescent="0.25">
      <c r="A193" s="534" t="str">
        <f t="shared" si="3"/>
        <v>Turkey-2</v>
      </c>
      <c r="B193" s="8" t="str">
        <f>HYPERLINK('High impact policies'!B404)</f>
        <v>2</v>
      </c>
      <c r="C193" s="385" t="s">
        <v>21</v>
      </c>
      <c r="D193" s="385" t="s">
        <v>1913</v>
      </c>
      <c r="E193" s="385">
        <v>30</v>
      </c>
      <c r="F193" s="385" t="s">
        <v>1904</v>
      </c>
      <c r="H193" s="385">
        <v>2023</v>
      </c>
      <c r="I193" s="385" t="s">
        <v>337</v>
      </c>
      <c r="J193" s="385" t="s">
        <v>2047</v>
      </c>
      <c r="K193" s="756" t="s">
        <v>31</v>
      </c>
      <c r="L193" s="756"/>
      <c r="N193" s="764"/>
      <c r="O193" s="765"/>
      <c r="P193" s="521"/>
      <c r="Q193" s="772"/>
      <c r="R193" s="765"/>
      <c r="S193" s="755"/>
      <c r="T193" s="755"/>
      <c r="U193" s="755"/>
    </row>
    <row r="194" spans="1:21" s="385" customFormat="1" x14ac:dyDescent="0.25">
      <c r="A194" s="534" t="str">
        <f t="shared" si="3"/>
        <v>Turkey-1a</v>
      </c>
      <c r="B194" s="8" t="str">
        <f>HYPERLINK('High impact policies'!B412)</f>
        <v>1a</v>
      </c>
      <c r="C194" s="385" t="s">
        <v>21</v>
      </c>
      <c r="D194" s="385" t="s">
        <v>1925</v>
      </c>
      <c r="E194" s="385">
        <v>34</v>
      </c>
      <c r="F194" s="385" t="s">
        <v>1883</v>
      </c>
      <c r="H194" s="385">
        <v>2023</v>
      </c>
      <c r="I194" s="385" t="s">
        <v>337</v>
      </c>
      <c r="K194" s="756" t="s">
        <v>32</v>
      </c>
      <c r="L194" s="756" t="s">
        <v>32</v>
      </c>
      <c r="M194" s="385" t="s">
        <v>32</v>
      </c>
      <c r="N194" s="768">
        <v>0.27449049600000003</v>
      </c>
      <c r="O194" s="769">
        <v>0.37467078400000003</v>
      </c>
      <c r="P194" s="770">
        <v>0.36496814811395145</v>
      </c>
      <c r="Q194" s="771">
        <v>0.10018028800000001</v>
      </c>
      <c r="R194" s="769">
        <v>8.1436010367924277E-2</v>
      </c>
      <c r="S194" s="755">
        <v>2025</v>
      </c>
      <c r="T194" s="755" t="s">
        <v>162</v>
      </c>
      <c r="U194" s="755" t="s">
        <v>2166</v>
      </c>
    </row>
    <row r="195" spans="1:21" s="385" customFormat="1" x14ac:dyDescent="0.25">
      <c r="A195" s="534" t="str">
        <f t="shared" si="3"/>
        <v>Turkey-1b</v>
      </c>
      <c r="B195" s="8" t="str">
        <f>HYPERLINK('High impact policies'!B413)</f>
        <v>1b</v>
      </c>
      <c r="C195" s="385" t="s">
        <v>21</v>
      </c>
      <c r="D195" s="385" t="s">
        <v>1929</v>
      </c>
      <c r="E195" s="385">
        <v>20</v>
      </c>
      <c r="F195" s="385" t="s">
        <v>1883</v>
      </c>
      <c r="H195" s="385">
        <v>2023</v>
      </c>
      <c r="I195" s="385" t="s">
        <v>337</v>
      </c>
      <c r="K195" s="756" t="s">
        <v>32</v>
      </c>
      <c r="L195" s="756" t="s">
        <v>32</v>
      </c>
      <c r="M195" s="385" t="s">
        <v>32</v>
      </c>
      <c r="N195" s="768">
        <v>4.9530138000000001E-2</v>
      </c>
      <c r="O195" s="769">
        <v>0.16414146000000002</v>
      </c>
      <c r="P195" s="770">
        <v>2.3139713844528358</v>
      </c>
      <c r="Q195" s="771">
        <v>0.11461132200000002</v>
      </c>
      <c r="R195" s="769">
        <v>9.3166919291283221E-2</v>
      </c>
      <c r="S195" s="755">
        <v>2025</v>
      </c>
      <c r="T195" s="755" t="s">
        <v>162</v>
      </c>
      <c r="U195" s="755" t="s">
        <v>2168</v>
      </c>
    </row>
    <row r="196" spans="1:21" s="385" customFormat="1" x14ac:dyDescent="0.25">
      <c r="A196" s="534" t="str">
        <f t="shared" si="3"/>
        <v>Turkey-1c</v>
      </c>
      <c r="B196" s="8" t="str">
        <f>HYPERLINK('High impact policies'!B414)</f>
        <v>1c</v>
      </c>
      <c r="C196" s="385" t="s">
        <v>21</v>
      </c>
      <c r="D196" s="385" t="s">
        <v>1928</v>
      </c>
      <c r="E196" s="385">
        <v>5</v>
      </c>
      <c r="F196" s="385" t="s">
        <v>1883</v>
      </c>
      <c r="H196" s="385">
        <v>2023</v>
      </c>
      <c r="I196" s="385" t="s">
        <v>337</v>
      </c>
      <c r="K196" s="756" t="s">
        <v>32</v>
      </c>
      <c r="L196" s="756" t="s">
        <v>32</v>
      </c>
      <c r="M196" s="385" t="s">
        <v>32</v>
      </c>
      <c r="N196" s="768">
        <v>2.6696658000000002E-2</v>
      </c>
      <c r="O196" s="769">
        <v>4.8543337000000006E-2</v>
      </c>
      <c r="P196" s="770">
        <v>0.8183301070868122</v>
      </c>
      <c r="Q196" s="771">
        <v>2.1846679000000004E-2</v>
      </c>
      <c r="R196" s="769">
        <v>1.7759046346010842E-2</v>
      </c>
      <c r="S196" s="755">
        <v>2025</v>
      </c>
      <c r="T196" s="755" t="s">
        <v>162</v>
      </c>
      <c r="U196" s="755" t="s">
        <v>2167</v>
      </c>
    </row>
    <row r="197" spans="1:21" s="385" customFormat="1" x14ac:dyDescent="0.25">
      <c r="A197" s="534" t="str">
        <f t="shared" si="3"/>
        <v>Turkey-1d</v>
      </c>
      <c r="B197" s="8" t="str">
        <f>HYPERLINK('High impact policies'!B415)</f>
        <v>1d</v>
      </c>
      <c r="C197" s="385" t="s">
        <v>21</v>
      </c>
      <c r="D197" s="385" t="s">
        <v>2048</v>
      </c>
      <c r="E197" s="385">
        <v>1</v>
      </c>
      <c r="F197" s="385" t="s">
        <v>1883</v>
      </c>
      <c r="H197" s="385">
        <v>2023</v>
      </c>
      <c r="I197" s="385" t="s">
        <v>337</v>
      </c>
      <c r="K197" s="756" t="s">
        <v>32</v>
      </c>
      <c r="L197" s="756" t="s">
        <v>32</v>
      </c>
      <c r="M197" s="385" t="s">
        <v>32</v>
      </c>
      <c r="N197" s="781" t="s">
        <v>685</v>
      </c>
      <c r="O197" s="765" t="s">
        <v>685</v>
      </c>
      <c r="P197" s="521" t="s">
        <v>685</v>
      </c>
      <c r="Q197" s="785" t="s">
        <v>685</v>
      </c>
      <c r="R197" s="765" t="s">
        <v>685</v>
      </c>
      <c r="S197" s="755"/>
      <c r="T197" s="755"/>
      <c r="U197" s="755"/>
    </row>
    <row r="198" spans="1:21" s="385" customFormat="1" x14ac:dyDescent="0.25">
      <c r="A198" s="534" t="str">
        <f t="shared" si="3"/>
        <v>Turkey-1e</v>
      </c>
      <c r="B198" s="8" t="str">
        <f>HYPERLINK('High impact policies'!B416)</f>
        <v>1e</v>
      </c>
      <c r="C198" s="385" t="s">
        <v>21</v>
      </c>
      <c r="D198" s="385" t="s">
        <v>1924</v>
      </c>
      <c r="E198" s="385">
        <v>1</v>
      </c>
      <c r="F198" s="385" t="s">
        <v>1883</v>
      </c>
      <c r="H198" s="385">
        <v>2023</v>
      </c>
      <c r="I198" s="385" t="s">
        <v>337</v>
      </c>
      <c r="K198" s="756" t="s">
        <v>32</v>
      </c>
      <c r="L198" s="756" t="s">
        <v>32</v>
      </c>
      <c r="M198" s="385" t="s">
        <v>32</v>
      </c>
      <c r="N198" s="768">
        <v>3.7961665845947269E-3</v>
      </c>
      <c r="O198" s="769">
        <v>2.5272904225311282E-2</v>
      </c>
      <c r="P198" s="770">
        <v>5.657480292848998</v>
      </c>
      <c r="Q198" s="771">
        <v>2.1476737640716555E-2</v>
      </c>
      <c r="R198" s="769">
        <v>1.7458323030360851E-2</v>
      </c>
      <c r="S198" s="755">
        <v>2025</v>
      </c>
      <c r="T198" s="755" t="s">
        <v>162</v>
      </c>
      <c r="U198" s="755" t="s">
        <v>2160</v>
      </c>
    </row>
    <row r="199" spans="1:21" s="385" customFormat="1" x14ac:dyDescent="0.25">
      <c r="A199" s="534" t="str">
        <f t="shared" si="3"/>
        <v>Turkey-3</v>
      </c>
      <c r="B199" s="8" t="str">
        <f>HYPERLINK('High impact policies'!B418)</f>
        <v>3</v>
      </c>
      <c r="C199" s="385" t="s">
        <v>21</v>
      </c>
      <c r="D199" s="385" t="s">
        <v>2049</v>
      </c>
      <c r="E199" s="385">
        <v>-20</v>
      </c>
      <c r="F199" s="385" t="s">
        <v>1904</v>
      </c>
      <c r="G199" s="385">
        <v>2008</v>
      </c>
      <c r="H199" s="385">
        <v>2023</v>
      </c>
      <c r="I199" s="385" t="s">
        <v>337</v>
      </c>
      <c r="K199" s="756" t="s">
        <v>32</v>
      </c>
      <c r="L199" s="756" t="s">
        <v>32</v>
      </c>
      <c r="M199" s="385" t="s">
        <v>32</v>
      </c>
      <c r="N199" s="768">
        <v>1.8333919677734376</v>
      </c>
      <c r="O199" s="769">
        <v>1.828717041015625</v>
      </c>
      <c r="P199" s="770">
        <v>-2.5498784984260741E-3</v>
      </c>
      <c r="Q199" s="771">
        <v>-4.6749267578125586E-3</v>
      </c>
      <c r="R199" s="769">
        <v>-3.8002224940550194E-3</v>
      </c>
      <c r="S199" s="755">
        <v>2025</v>
      </c>
      <c r="T199" s="755" t="s">
        <v>162</v>
      </c>
      <c r="U199" s="755" t="s">
        <v>2181</v>
      </c>
    </row>
    <row r="200" spans="1:21" s="738" customFormat="1" x14ac:dyDescent="0.25">
      <c r="A200" s="534" t="str">
        <f t="shared" si="3"/>
        <v>Turkey-0b</v>
      </c>
      <c r="B200" s="8" t="str">
        <f>HYPERLINK('High impact policies'!B408)</f>
        <v>0b</v>
      </c>
      <c r="C200" s="738" t="s">
        <v>21</v>
      </c>
      <c r="D200" s="738" t="s">
        <v>2137</v>
      </c>
      <c r="E200" s="738">
        <v>10</v>
      </c>
      <c r="F200" s="738" t="s">
        <v>1883</v>
      </c>
      <c r="H200" s="738">
        <v>2030</v>
      </c>
      <c r="I200" s="738" t="s">
        <v>784</v>
      </c>
      <c r="K200" s="385" t="s">
        <v>32</v>
      </c>
      <c r="L200" s="385" t="s">
        <v>685</v>
      </c>
      <c r="M200" s="385"/>
      <c r="N200" s="768"/>
      <c r="O200" s="769"/>
      <c r="P200" s="770"/>
      <c r="Q200" s="771"/>
      <c r="R200" s="769"/>
    </row>
    <row r="201" spans="1:21" s="738" customFormat="1" x14ac:dyDescent="0.25">
      <c r="A201" s="534" t="str">
        <f t="shared" si="3"/>
        <v>Turkey-0c</v>
      </c>
      <c r="B201" s="8" t="str">
        <f>HYPERLINK('High impact policies'!B409)</f>
        <v>0c</v>
      </c>
      <c r="C201" s="738" t="s">
        <v>21</v>
      </c>
      <c r="D201" s="738" t="s">
        <v>2138</v>
      </c>
      <c r="E201" s="738">
        <v>16</v>
      </c>
      <c r="F201" s="738" t="s">
        <v>1883</v>
      </c>
      <c r="H201" s="738">
        <v>2030</v>
      </c>
      <c r="I201" s="738" t="s">
        <v>784</v>
      </c>
      <c r="K201" s="385" t="s">
        <v>32</v>
      </c>
      <c r="L201" s="385" t="s">
        <v>685</v>
      </c>
      <c r="M201" s="385"/>
      <c r="N201" s="768"/>
      <c r="O201" s="769"/>
      <c r="P201" s="770"/>
      <c r="Q201" s="771"/>
      <c r="R201" s="769"/>
    </row>
    <row r="202" spans="1:21" s="385" customFormat="1" x14ac:dyDescent="0.25">
      <c r="A202" s="534" t="str">
        <f t="shared" si="3"/>
        <v>United States of America-13</v>
      </c>
      <c r="B202" s="8" t="str">
        <f>HYPERLINK('High impact policies'!B453)</f>
        <v>13</v>
      </c>
      <c r="C202" s="385" t="s">
        <v>55</v>
      </c>
      <c r="D202" s="385" t="s">
        <v>2050</v>
      </c>
      <c r="E202" s="385">
        <v>-50</v>
      </c>
      <c r="F202" s="385" t="s">
        <v>1904</v>
      </c>
      <c r="G202" s="385">
        <v>2010</v>
      </c>
      <c r="H202" s="385">
        <v>2020</v>
      </c>
      <c r="I202" s="385" t="s">
        <v>337</v>
      </c>
      <c r="K202" s="756" t="s">
        <v>32</v>
      </c>
      <c r="L202" s="756" t="s">
        <v>32</v>
      </c>
      <c r="M202" s="385" t="s">
        <v>32</v>
      </c>
      <c r="N202" s="768">
        <v>34.683691406249999</v>
      </c>
      <c r="O202" s="769">
        <v>30.504669921874999</v>
      </c>
      <c r="P202" s="770">
        <v>-0.12048952446918439</v>
      </c>
      <c r="Q202" s="771">
        <v>-4.1790214843749993</v>
      </c>
      <c r="R202" s="769">
        <v>-0.22984890850647596</v>
      </c>
      <c r="S202" s="755">
        <v>2020</v>
      </c>
      <c r="T202" s="755" t="s">
        <v>22</v>
      </c>
      <c r="U202" s="755" t="s">
        <v>2186</v>
      </c>
    </row>
    <row r="203" spans="1:21" s="385" customFormat="1" x14ac:dyDescent="0.25">
      <c r="A203" s="534" t="str">
        <f t="shared" si="3"/>
        <v>United States of America-5a</v>
      </c>
      <c r="B203" s="8" t="str">
        <f>HYPERLINK('High impact policies'!B434)</f>
        <v>5a</v>
      </c>
      <c r="C203" s="385" t="s">
        <v>55</v>
      </c>
      <c r="D203" s="385" t="s">
        <v>1935</v>
      </c>
      <c r="E203" s="385">
        <v>450</v>
      </c>
      <c r="F203" s="385" t="s">
        <v>1936</v>
      </c>
      <c r="G203" s="385">
        <v>2014</v>
      </c>
      <c r="I203" s="385" t="s">
        <v>337</v>
      </c>
      <c r="J203" s="385" t="s">
        <v>2148</v>
      </c>
      <c r="K203" s="756" t="s">
        <v>32</v>
      </c>
      <c r="L203" s="756" t="s">
        <v>32</v>
      </c>
      <c r="M203" s="385" t="s">
        <v>32</v>
      </c>
      <c r="N203" s="764">
        <v>17.489498208000001</v>
      </c>
      <c r="O203" s="765">
        <v>14.7065792</v>
      </c>
      <c r="P203" s="106">
        <v>-0.15911943126687561</v>
      </c>
      <c r="Q203" s="772">
        <v>-2.7829190080000004</v>
      </c>
      <c r="R203" s="765">
        <v>-0.13658865999755881</v>
      </c>
      <c r="S203" s="755">
        <v>2025</v>
      </c>
      <c r="T203" s="755" t="s">
        <v>22</v>
      </c>
      <c r="U203" s="755" t="s">
        <v>2193</v>
      </c>
    </row>
    <row r="204" spans="1:21" s="385" customFormat="1" x14ac:dyDescent="0.25">
      <c r="A204" s="534" t="str">
        <f t="shared" ref="A204:A217" si="4">C204&amp;"-"&amp;B204</f>
        <v>United States of America-3</v>
      </c>
      <c r="B204" s="8" t="str">
        <f>HYPERLINK('High impact policies'!B433)</f>
        <v>3</v>
      </c>
      <c r="C204" s="385" t="s">
        <v>55</v>
      </c>
      <c r="D204" s="385" t="s">
        <v>1913</v>
      </c>
      <c r="E204" s="23">
        <v>10.6</v>
      </c>
      <c r="F204" s="385" t="s">
        <v>1904</v>
      </c>
      <c r="H204" s="385">
        <v>2020</v>
      </c>
      <c r="I204" s="385" t="s">
        <v>337</v>
      </c>
      <c r="J204" s="752"/>
      <c r="K204" s="756" t="s">
        <v>31</v>
      </c>
      <c r="L204" s="756"/>
      <c r="N204" s="764"/>
      <c r="O204" s="765"/>
      <c r="P204" s="521"/>
      <c r="Q204" s="772"/>
      <c r="R204" s="765"/>
      <c r="S204" s="755"/>
      <c r="T204" s="755"/>
      <c r="U204" s="755"/>
    </row>
    <row r="205" spans="1:21" s="385" customFormat="1" x14ac:dyDescent="0.25">
      <c r="A205" s="534" t="str">
        <f t="shared" si="4"/>
        <v>United States of America-3</v>
      </c>
      <c r="B205" s="8" t="str">
        <f>HYPERLINK('High impact policies'!B439)</f>
        <v>3</v>
      </c>
      <c r="C205" s="385" t="s">
        <v>55</v>
      </c>
      <c r="D205" s="385" t="s">
        <v>2051</v>
      </c>
      <c r="E205" s="385">
        <v>-42.5</v>
      </c>
      <c r="F205" s="385" t="s">
        <v>1904</v>
      </c>
      <c r="G205" s="385">
        <v>2012</v>
      </c>
      <c r="H205" s="385">
        <v>2025</v>
      </c>
      <c r="I205" s="385" t="s">
        <v>337</v>
      </c>
      <c r="K205" s="756" t="s">
        <v>31</v>
      </c>
      <c r="L205" s="756"/>
      <c r="N205" s="764"/>
      <c r="O205" s="765"/>
      <c r="P205" s="521"/>
      <c r="Q205" s="772"/>
      <c r="R205" s="765"/>
      <c r="S205" s="755"/>
      <c r="T205" s="755"/>
      <c r="U205" s="755"/>
    </row>
    <row r="206" spans="1:21" s="385" customFormat="1" x14ac:dyDescent="0.25">
      <c r="A206" s="534" t="str">
        <f t="shared" si="4"/>
        <v>United States of America-8b</v>
      </c>
      <c r="B206" s="8" t="str">
        <f>HYPERLINK('High impact policies'!B441)</f>
        <v>8b</v>
      </c>
      <c r="C206" s="385" t="s">
        <v>55</v>
      </c>
      <c r="D206" s="385" t="s">
        <v>2052</v>
      </c>
      <c r="E206" s="385">
        <v>-20</v>
      </c>
      <c r="F206" s="385" t="s">
        <v>1904</v>
      </c>
      <c r="G206" s="385">
        <v>2010</v>
      </c>
      <c r="H206" s="385">
        <v>2025</v>
      </c>
      <c r="I206" s="385" t="s">
        <v>337</v>
      </c>
      <c r="K206" s="756" t="s">
        <v>32</v>
      </c>
      <c r="L206" s="756" t="s">
        <v>32</v>
      </c>
      <c r="M206" s="385" t="s">
        <v>32</v>
      </c>
      <c r="N206" s="768">
        <v>22.744459960937501</v>
      </c>
      <c r="O206" s="769">
        <v>22.421290039062502</v>
      </c>
      <c r="P206" s="770">
        <v>-1.4208731375905519E-2</v>
      </c>
      <c r="Q206" s="771">
        <v>-0.32316992187499949</v>
      </c>
      <c r="R206" s="769">
        <v>-1.5861527573576423E-2</v>
      </c>
      <c r="S206" s="755">
        <v>2025</v>
      </c>
      <c r="T206" s="755" t="s">
        <v>22</v>
      </c>
      <c r="U206" s="755" t="s">
        <v>2176</v>
      </c>
    </row>
    <row r="207" spans="1:21" s="385" customFormat="1" x14ac:dyDescent="0.25">
      <c r="A207" s="534" t="str">
        <f t="shared" si="4"/>
        <v>United States of America-</v>
      </c>
      <c r="C207" s="385" t="s">
        <v>55</v>
      </c>
      <c r="D207" s="18" t="s">
        <v>2053</v>
      </c>
      <c r="E207" s="385">
        <v>-1.4</v>
      </c>
      <c r="F207" s="385" t="s">
        <v>1904</v>
      </c>
      <c r="G207" s="385">
        <v>2012</v>
      </c>
      <c r="H207" s="705" t="s">
        <v>493</v>
      </c>
      <c r="I207" s="385" t="s">
        <v>337</v>
      </c>
      <c r="J207" s="385" t="s">
        <v>2055</v>
      </c>
      <c r="K207" s="756" t="s">
        <v>32</v>
      </c>
      <c r="L207" s="756" t="s">
        <v>32</v>
      </c>
      <c r="M207" s="385" t="s">
        <v>32</v>
      </c>
      <c r="N207" s="768">
        <v>22.744459960937501</v>
      </c>
      <c r="O207" s="769">
        <v>22.421290039062502</v>
      </c>
      <c r="P207" s="770">
        <v>-1.4208731375905519E-2</v>
      </c>
      <c r="Q207" s="771">
        <v>-0.32316992187499949</v>
      </c>
      <c r="R207" s="769">
        <v>-1.5861527573576423E-2</v>
      </c>
      <c r="S207" s="755">
        <v>2025</v>
      </c>
      <c r="T207" s="755" t="s">
        <v>22</v>
      </c>
      <c r="U207" s="755" t="s">
        <v>2176</v>
      </c>
    </row>
    <row r="208" spans="1:21" s="385" customFormat="1" x14ac:dyDescent="0.25">
      <c r="A208" s="534" t="str">
        <f t="shared" si="4"/>
        <v>United States of America-</v>
      </c>
      <c r="C208" s="385" t="s">
        <v>55</v>
      </c>
      <c r="D208" s="18" t="s">
        <v>2054</v>
      </c>
      <c r="E208" s="385">
        <v>-1.9</v>
      </c>
      <c r="F208" s="385" t="s">
        <v>1904</v>
      </c>
      <c r="G208" s="385">
        <v>2012</v>
      </c>
      <c r="H208" s="705" t="s">
        <v>493</v>
      </c>
      <c r="I208" s="385" t="s">
        <v>337</v>
      </c>
      <c r="J208" s="385" t="s">
        <v>2056</v>
      </c>
      <c r="K208" s="756" t="s">
        <v>32</v>
      </c>
      <c r="L208" s="756" t="s">
        <v>685</v>
      </c>
      <c r="M208" s="385" t="s">
        <v>685</v>
      </c>
      <c r="N208" s="764">
        <v>22.744459960937501</v>
      </c>
      <c r="O208" s="765">
        <v>22.421290039062502</v>
      </c>
      <c r="P208" s="106">
        <v>-1.4208731375905519E-2</v>
      </c>
      <c r="Q208" s="772">
        <v>-0.32316992187499949</v>
      </c>
      <c r="R208" s="765">
        <v>-1.5861527573576423E-2</v>
      </c>
      <c r="S208" s="755">
        <v>2025</v>
      </c>
      <c r="T208" s="755" t="s">
        <v>22</v>
      </c>
      <c r="U208" s="755" t="s">
        <v>2176</v>
      </c>
    </row>
    <row r="209" spans="1:21" s="385" customFormat="1" x14ac:dyDescent="0.25">
      <c r="A209" s="534" t="str">
        <f t="shared" si="4"/>
        <v>United States of America-</v>
      </c>
      <c r="C209" s="385" t="s">
        <v>55</v>
      </c>
      <c r="D209" s="18" t="s">
        <v>2057</v>
      </c>
      <c r="E209" s="385">
        <v>-1.6</v>
      </c>
      <c r="F209" s="385" t="s">
        <v>1904</v>
      </c>
      <c r="G209" s="385">
        <v>2012</v>
      </c>
      <c r="H209" s="705" t="s">
        <v>493</v>
      </c>
      <c r="I209" s="385" t="s">
        <v>337</v>
      </c>
      <c r="J209" s="385" t="s">
        <v>2058</v>
      </c>
      <c r="K209" s="756" t="s">
        <v>32</v>
      </c>
      <c r="L209" s="756" t="s">
        <v>685</v>
      </c>
      <c r="M209" s="385" t="s">
        <v>685</v>
      </c>
      <c r="N209" s="764">
        <v>22.744459960937501</v>
      </c>
      <c r="O209" s="765">
        <v>22.421290039062502</v>
      </c>
      <c r="P209" s="106">
        <v>-1.4208731375905519E-2</v>
      </c>
      <c r="Q209" s="772">
        <v>-0.32316992187499949</v>
      </c>
      <c r="R209" s="765">
        <v>-1.5861527573576423E-2</v>
      </c>
      <c r="S209" s="755">
        <v>2025</v>
      </c>
      <c r="T209" s="755" t="s">
        <v>22</v>
      </c>
      <c r="U209" s="755" t="s">
        <v>2176</v>
      </c>
    </row>
    <row r="210" spans="1:21" s="385" customFormat="1" x14ac:dyDescent="0.25">
      <c r="A210" s="534" t="str">
        <f t="shared" si="4"/>
        <v>United States of America-9a</v>
      </c>
      <c r="B210" s="8" t="str">
        <f>HYPERLINK('High impact policies'!B448)</f>
        <v>9a</v>
      </c>
      <c r="C210" s="385" t="s">
        <v>55</v>
      </c>
      <c r="D210" s="385" t="s">
        <v>2059</v>
      </c>
      <c r="E210" s="385">
        <v>250</v>
      </c>
      <c r="F210" s="385" t="s">
        <v>2060</v>
      </c>
      <c r="H210" s="385">
        <v>2020</v>
      </c>
      <c r="I210" s="385" t="s">
        <v>337</v>
      </c>
      <c r="J210" s="385" t="s">
        <v>2071</v>
      </c>
      <c r="K210" s="756" t="s">
        <v>32</v>
      </c>
      <c r="L210" s="756" t="s">
        <v>32</v>
      </c>
      <c r="M210" s="385" t="s">
        <v>2161</v>
      </c>
      <c r="N210" s="764">
        <v>21.925919921875</v>
      </c>
      <c r="O210" s="765">
        <v>21.887620117187499</v>
      </c>
      <c r="P210" s="106">
        <v>-1.7467821110342596E-3</v>
      </c>
      <c r="Q210" s="772">
        <v>-3.8299804687500938E-2</v>
      </c>
      <c r="R210" s="765">
        <v>-2.106514248933055E-3</v>
      </c>
      <c r="S210" s="755">
        <v>2020</v>
      </c>
      <c r="T210" s="755" t="s">
        <v>22</v>
      </c>
      <c r="U210" s="755" t="s">
        <v>2176</v>
      </c>
    </row>
    <row r="211" spans="1:21" s="385" customFormat="1" x14ac:dyDescent="0.25">
      <c r="A211" s="534" t="str">
        <f t="shared" si="4"/>
        <v>United States of America-9b</v>
      </c>
      <c r="B211" s="8" t="str">
        <f>HYPERLINK('High impact policies'!B449)</f>
        <v>9b</v>
      </c>
      <c r="C211" s="385" t="s">
        <v>55</v>
      </c>
      <c r="D211" s="385" t="s">
        <v>2059</v>
      </c>
      <c r="E211" s="385">
        <v>350</v>
      </c>
      <c r="F211" s="385" t="s">
        <v>2060</v>
      </c>
      <c r="H211" s="385">
        <v>2030</v>
      </c>
      <c r="I211" s="385" t="s">
        <v>337</v>
      </c>
      <c r="J211" s="385" t="s">
        <v>2071</v>
      </c>
      <c r="K211" s="756" t="s">
        <v>32</v>
      </c>
      <c r="L211" s="756" t="s">
        <v>32</v>
      </c>
      <c r="M211" s="385" t="s">
        <v>32</v>
      </c>
      <c r="N211" s="768">
        <v>23.824689453125</v>
      </c>
      <c r="O211" s="769">
        <v>23.330349609375002</v>
      </c>
      <c r="P211" s="770">
        <v>-2.0749057179637535E-2</v>
      </c>
      <c r="Q211" s="771">
        <v>-0.49433984374999795</v>
      </c>
      <c r="R211" s="769">
        <v>-2.2088144317100305E-2</v>
      </c>
      <c r="S211" s="755">
        <v>2030</v>
      </c>
      <c r="T211" s="755" t="s">
        <v>22</v>
      </c>
      <c r="U211" s="755" t="s">
        <v>2176</v>
      </c>
    </row>
    <row r="212" spans="1:21" s="385" customFormat="1" x14ac:dyDescent="0.25">
      <c r="A212" s="534" t="str">
        <f t="shared" si="4"/>
        <v>United States of America-6a</v>
      </c>
      <c r="B212" s="8" t="str">
        <f>HYPERLINK('High impact policies'!B435)</f>
        <v>6a</v>
      </c>
      <c r="C212" s="385" t="s">
        <v>55</v>
      </c>
      <c r="D212" s="385" t="s">
        <v>1931</v>
      </c>
      <c r="E212" s="385">
        <v>10.1</v>
      </c>
      <c r="F212" s="385" t="s">
        <v>1904</v>
      </c>
      <c r="G212" s="385">
        <v>2014</v>
      </c>
      <c r="I212" s="385" t="s">
        <v>337</v>
      </c>
      <c r="K212" s="756" t="s">
        <v>32</v>
      </c>
      <c r="L212" s="756" t="s">
        <v>32</v>
      </c>
      <c r="M212" s="385" t="s">
        <v>32</v>
      </c>
      <c r="N212" s="768">
        <v>2.0575419921875002</v>
      </c>
      <c r="O212" s="769">
        <v>5.3308569335937497</v>
      </c>
      <c r="P212" s="770">
        <v>1.5908860931320219</v>
      </c>
      <c r="Q212" s="771">
        <v>3.2733149414062495</v>
      </c>
      <c r="R212" s="769">
        <v>0.16065782019218122</v>
      </c>
      <c r="S212" s="755">
        <v>2025</v>
      </c>
      <c r="T212" s="755" t="s">
        <v>22</v>
      </c>
      <c r="U212" s="755" t="s">
        <v>2162</v>
      </c>
    </row>
    <row r="213" spans="1:21" s="385" customFormat="1" x14ac:dyDescent="0.25">
      <c r="A213" s="534" t="str">
        <f t="shared" si="4"/>
        <v>United States of America-6b</v>
      </c>
      <c r="B213" s="8" t="str">
        <f>HYPERLINK('High impact policies'!B436)</f>
        <v>6b</v>
      </c>
      <c r="C213" s="385" t="s">
        <v>55</v>
      </c>
      <c r="D213" s="385" t="s">
        <v>2061</v>
      </c>
      <c r="E213" s="385">
        <v>21</v>
      </c>
      <c r="F213" s="385" t="s">
        <v>1904</v>
      </c>
      <c r="H213" s="385">
        <v>2022</v>
      </c>
      <c r="I213" s="385" t="s">
        <v>337</v>
      </c>
      <c r="K213" s="756" t="s">
        <v>32</v>
      </c>
      <c r="L213" s="756" t="s">
        <v>32</v>
      </c>
      <c r="M213" s="385" t="s">
        <v>2158</v>
      </c>
      <c r="N213" s="764">
        <v>2.0575419921875002</v>
      </c>
      <c r="O213" s="765">
        <v>5.3308569335937497</v>
      </c>
      <c r="P213" s="106">
        <v>1.5908860931320219</v>
      </c>
      <c r="Q213" s="772">
        <v>3.2733149414062495</v>
      </c>
      <c r="R213" s="765">
        <v>0.16065782019218122</v>
      </c>
      <c r="S213" s="755">
        <v>2025</v>
      </c>
      <c r="T213" s="755" t="s">
        <v>22</v>
      </c>
      <c r="U213" s="755" t="s">
        <v>2162</v>
      </c>
    </row>
    <row r="214" spans="1:21" s="385" customFormat="1" x14ac:dyDescent="0.25">
      <c r="A214" s="534" t="str">
        <f t="shared" si="4"/>
        <v>United States of America-6c</v>
      </c>
      <c r="B214" s="8" t="str">
        <f>HYPERLINK('High impact policies'!B437)</f>
        <v>6c</v>
      </c>
      <c r="C214" s="385" t="s">
        <v>55</v>
      </c>
      <c r="D214" s="385" t="s">
        <v>2062</v>
      </c>
      <c r="E214" s="385">
        <v>15</v>
      </c>
      <c r="F214" s="385" t="s">
        <v>1904</v>
      </c>
      <c r="H214" s="385">
        <v>2022</v>
      </c>
      <c r="I214" s="385" t="s">
        <v>337</v>
      </c>
      <c r="K214" s="756" t="s">
        <v>32</v>
      </c>
      <c r="L214" s="756" t="s">
        <v>32</v>
      </c>
      <c r="M214" s="385" t="s">
        <v>32</v>
      </c>
      <c r="N214" s="768">
        <v>2.0575419921875002</v>
      </c>
      <c r="O214" s="769">
        <v>5.3308569335937497</v>
      </c>
      <c r="P214" s="770">
        <v>1.5908860931320219</v>
      </c>
      <c r="Q214" s="771">
        <v>3.2733149414062495</v>
      </c>
      <c r="R214" s="769">
        <v>0.16065782019218122</v>
      </c>
      <c r="S214" s="755">
        <v>2025</v>
      </c>
      <c r="T214" s="755" t="s">
        <v>22</v>
      </c>
      <c r="U214" s="755" t="s">
        <v>2162</v>
      </c>
    </row>
    <row r="215" spans="1:21" s="385" customFormat="1" x14ac:dyDescent="0.25">
      <c r="A215" s="534" t="str">
        <f t="shared" si="4"/>
        <v>United States of America-1</v>
      </c>
      <c r="B215" s="8" t="str">
        <f>HYPERLINK('High impact policies'!B427)</f>
        <v>1</v>
      </c>
      <c r="C215" s="385" t="s">
        <v>55</v>
      </c>
      <c r="D215" s="385" t="s">
        <v>2273</v>
      </c>
      <c r="E215" s="385">
        <v>0.91</v>
      </c>
      <c r="F215" s="385" t="s">
        <v>1413</v>
      </c>
      <c r="H215" s="385">
        <v>2025</v>
      </c>
      <c r="I215" s="385" t="s">
        <v>337</v>
      </c>
      <c r="K215" s="756" t="s">
        <v>32</v>
      </c>
      <c r="L215" s="756" t="s">
        <v>32</v>
      </c>
      <c r="M215" s="23" t="s">
        <v>32</v>
      </c>
      <c r="N215" s="768">
        <v>15.804669952000001</v>
      </c>
      <c r="O215" s="769">
        <v>9.9</v>
      </c>
      <c r="P215" s="770">
        <v>-0.37360286357974815</v>
      </c>
      <c r="Q215" s="771">
        <v>5.9046699520000008</v>
      </c>
      <c r="R215" s="769">
        <v>-0.28108048924827578</v>
      </c>
      <c r="S215" s="755">
        <v>2025</v>
      </c>
      <c r="T215" s="755" t="s">
        <v>22</v>
      </c>
      <c r="U215" s="755" t="s">
        <v>2170</v>
      </c>
    </row>
    <row r="216" spans="1:21" s="385" customFormat="1" x14ac:dyDescent="0.25">
      <c r="A216" s="534" t="str">
        <f t="shared" si="4"/>
        <v>United States of America-2a</v>
      </c>
      <c r="B216" s="8" t="str">
        <f>HYPERLINK('High impact policies'!B428)</f>
        <v>2a</v>
      </c>
      <c r="C216" s="385" t="s">
        <v>55</v>
      </c>
      <c r="D216" s="385" t="s">
        <v>2274</v>
      </c>
      <c r="E216" s="385">
        <v>1.38</v>
      </c>
      <c r="F216" s="385" t="s">
        <v>1459</v>
      </c>
      <c r="H216" s="385">
        <v>2027</v>
      </c>
      <c r="I216" s="385" t="s">
        <v>337</v>
      </c>
      <c r="J216" s="385" t="s">
        <v>2143</v>
      </c>
      <c r="K216" s="756" t="s">
        <v>32</v>
      </c>
      <c r="L216" s="756" t="s">
        <v>32</v>
      </c>
      <c r="M216" s="385" t="s">
        <v>32</v>
      </c>
      <c r="N216" s="764">
        <v>10.499940352000001</v>
      </c>
      <c r="O216" s="765">
        <v>8.6595778560000003</v>
      </c>
      <c r="P216" s="106">
        <v>-0.17527361435433805</v>
      </c>
      <c r="Q216" s="772">
        <v>-1.8403624960000009</v>
      </c>
      <c r="R216" s="765">
        <v>-8.2231268471219851E-2</v>
      </c>
      <c r="S216" s="755">
        <v>2030</v>
      </c>
      <c r="T216" s="755" t="s">
        <v>22</v>
      </c>
      <c r="U216" s="755" t="s">
        <v>2171</v>
      </c>
    </row>
    <row r="217" spans="1:21" s="385" customFormat="1" ht="15.75" thickBot="1" x14ac:dyDescent="0.3">
      <c r="A217" s="534" t="str">
        <f t="shared" si="4"/>
        <v>United States of America-11</v>
      </c>
      <c r="B217" s="8" t="str">
        <f>HYPERLINK('High impact policies'!B451)</f>
        <v>11</v>
      </c>
      <c r="C217" s="385" t="s">
        <v>55</v>
      </c>
      <c r="D217" s="385" t="s">
        <v>1940</v>
      </c>
      <c r="E217" s="385">
        <v>-40</v>
      </c>
      <c r="F217" s="385" t="s">
        <v>1908</v>
      </c>
      <c r="G217" s="385" t="s">
        <v>1943</v>
      </c>
      <c r="H217" s="385">
        <v>2020</v>
      </c>
      <c r="I217" s="385" t="s">
        <v>337</v>
      </c>
      <c r="K217" s="756" t="s">
        <v>31</v>
      </c>
      <c r="L217" s="756" t="s">
        <v>685</v>
      </c>
      <c r="M217" s="385" t="s">
        <v>685</v>
      </c>
      <c r="N217" s="786"/>
      <c r="O217" s="787"/>
      <c r="P217" s="788"/>
      <c r="Q217" s="789"/>
      <c r="R217" s="787"/>
      <c r="S217" s="755"/>
      <c r="T217" s="755"/>
      <c r="U217" s="755"/>
    </row>
  </sheetData>
  <autoFilter ref="C2:I217" xr:uid="{00000000-0009-0000-0000-000007000000}"/>
  <mergeCells count="1">
    <mergeCell ref="K1:U1"/>
  </mergeCells>
  <printOptions gridLines="1"/>
  <pageMargins left="0.70866141732283472" right="0.70866141732283472" top="0.74803149606299213" bottom="0.74803149606299213" header="0.31496062992125984" footer="0.31496062992125984"/>
  <pageSetup paperSize="9" scale="52" orientation="portrait" r:id="rId1"/>
  <rowBreaks count="2" manualBreakCount="2">
    <brk id="86" max="16383" man="1"/>
    <brk id="176" max="16383" man="1"/>
  </rowBreaks>
  <colBreaks count="1" manualBreakCount="1">
    <brk id="9" max="201"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90"/>
  <sheetViews>
    <sheetView workbookViewId="0"/>
  </sheetViews>
  <sheetFormatPr defaultColWidth="9.140625" defaultRowHeight="12.75" x14ac:dyDescent="0.2"/>
  <cols>
    <col min="1" max="1" width="9.140625" style="181"/>
    <col min="2" max="2" width="17.5703125" style="181" bestFit="1" customWidth="1"/>
    <col min="3" max="3" width="9.28515625" style="181" bestFit="1" customWidth="1"/>
    <col min="4" max="4" width="8.42578125" style="181" bestFit="1" customWidth="1"/>
    <col min="5" max="5" width="8.85546875" style="181" bestFit="1" customWidth="1"/>
    <col min="6" max="7" width="8.85546875" style="181" customWidth="1"/>
    <col min="8" max="12" width="9.140625" style="181"/>
    <col min="13" max="14" width="13.7109375" style="181" customWidth="1"/>
    <col min="15" max="15" width="12.85546875" style="181" bestFit="1" customWidth="1"/>
    <col min="16" max="20" width="9.140625" style="181"/>
    <col min="21" max="21" width="26.85546875" style="181" bestFit="1" customWidth="1"/>
    <col min="22" max="22" width="9.140625" style="181"/>
    <col min="23" max="23" width="105.5703125" style="181" bestFit="1" customWidth="1"/>
    <col min="24" max="16384" width="9.140625" style="181"/>
  </cols>
  <sheetData>
    <row r="1" spans="1:31" x14ac:dyDescent="0.2">
      <c r="B1" s="216"/>
      <c r="C1" s="217"/>
      <c r="D1" s="216"/>
      <c r="E1" s="218" t="s">
        <v>1172</v>
      </c>
      <c r="F1" s="218" t="s">
        <v>389</v>
      </c>
      <c r="G1" s="218"/>
      <c r="H1" s="218" t="s">
        <v>1413</v>
      </c>
      <c r="I1" s="219"/>
      <c r="K1" s="218" t="s">
        <v>1172</v>
      </c>
      <c r="L1" s="218" t="s">
        <v>389</v>
      </c>
      <c r="M1" s="218" t="s">
        <v>1413</v>
      </c>
      <c r="N1" s="258"/>
    </row>
    <row r="2" spans="1:31" x14ac:dyDescent="0.2">
      <c r="A2" s="213"/>
      <c r="B2" s="210" t="s">
        <v>22</v>
      </c>
      <c r="C2" s="202"/>
      <c r="D2" s="200"/>
      <c r="E2" s="201"/>
      <c r="F2" s="201"/>
      <c r="G2" s="201"/>
      <c r="H2" s="201"/>
      <c r="I2" s="202"/>
      <c r="O2" s="182" t="s">
        <v>1375</v>
      </c>
      <c r="P2" s="184">
        <f>V16</f>
        <v>2.5393350542528381</v>
      </c>
      <c r="Q2" s="291" t="s">
        <v>2141</v>
      </c>
      <c r="U2" s="181" t="s">
        <v>1423</v>
      </c>
      <c r="V2" s="182">
        <v>34.841480500000003</v>
      </c>
    </row>
    <row r="3" spans="1:31" ht="15" x14ac:dyDescent="0.25">
      <c r="A3" s="214"/>
      <c r="B3" s="209" t="s">
        <v>1424</v>
      </c>
      <c r="C3" s="202"/>
      <c r="D3" s="200"/>
      <c r="E3" s="201"/>
      <c r="F3" s="201"/>
      <c r="G3" s="201"/>
      <c r="H3" s="201"/>
      <c r="I3" s="202"/>
      <c r="O3" s="8" t="s">
        <v>1628</v>
      </c>
      <c r="U3" s="181" t="s">
        <v>1425</v>
      </c>
      <c r="V3" s="185">
        <v>3.7854000000000001</v>
      </c>
    </row>
    <row r="4" spans="1:31" ht="15" x14ac:dyDescent="0.25">
      <c r="A4" s="202">
        <v>2010</v>
      </c>
      <c r="B4" s="181">
        <v>33.9</v>
      </c>
      <c r="C4" s="181" t="s">
        <v>1426</v>
      </c>
      <c r="D4" s="203">
        <f>B4*MileToKm/LiterPerGallon</f>
        <v>14.412416547788872</v>
      </c>
      <c r="E4" s="201" t="s">
        <v>1172</v>
      </c>
      <c r="F4" s="204">
        <f>10^3*CO2_IntensityGasolineDiesel/D4</f>
        <v>176.19078978413364</v>
      </c>
      <c r="G4" s="205" t="s">
        <v>389</v>
      </c>
      <c r="H4" s="206">
        <f>(fuel_intensity/D4)/Load</f>
        <v>1.5109142342850772</v>
      </c>
      <c r="I4" s="207" t="s">
        <v>1413</v>
      </c>
      <c r="K4" s="263" t="s">
        <v>1629</v>
      </c>
      <c r="O4" s="8" t="s">
        <v>811</v>
      </c>
      <c r="U4" s="181" t="s">
        <v>1427</v>
      </c>
      <c r="V4" s="189">
        <v>1.6093440000000001</v>
      </c>
    </row>
    <row r="5" spans="1:31" x14ac:dyDescent="0.2">
      <c r="A5" s="202">
        <v>2013</v>
      </c>
      <c r="B5" s="184">
        <v>36</v>
      </c>
      <c r="C5" s="181" t="s">
        <v>1426</v>
      </c>
      <c r="D5" s="203">
        <f>B5*MileToKm/LiterPerGallon</f>
        <v>15.305221112696149</v>
      </c>
      <c r="E5" s="201" t="s">
        <v>1172</v>
      </c>
      <c r="F5" s="204">
        <f>10^3*CO2_IntensityGasolineDiesel/D5</f>
        <v>165.9129937133925</v>
      </c>
      <c r="G5" s="205" t="s">
        <v>389</v>
      </c>
      <c r="H5" s="206">
        <f>(fuel_intensity/D5)/Load</f>
        <v>1.4227775706184478</v>
      </c>
      <c r="I5" s="207" t="s">
        <v>1413</v>
      </c>
      <c r="K5" s="257">
        <f>D5/$D$4-1</f>
        <v>6.1946902654867353E-2</v>
      </c>
      <c r="L5" s="257">
        <f>F5/$F$4-1</f>
        <v>-5.8333333333333459E-2</v>
      </c>
      <c r="M5" s="257">
        <f>H5/$H$4-1</f>
        <v>-5.8333333333333237E-2</v>
      </c>
      <c r="N5" s="257"/>
      <c r="U5" s="181" t="s">
        <v>1428</v>
      </c>
      <c r="V5" s="194">
        <v>1.6</v>
      </c>
      <c r="W5" s="181" t="s">
        <v>1453</v>
      </c>
    </row>
    <row r="6" spans="1:31" ht="15" x14ac:dyDescent="0.25">
      <c r="A6" s="214">
        <v>2016</v>
      </c>
      <c r="B6" s="203">
        <v>37.799999999999997</v>
      </c>
      <c r="C6" s="207" t="s">
        <v>1426</v>
      </c>
      <c r="D6" s="203">
        <f>B6*MileToKm/LiterPerGallon</f>
        <v>16.070482168330955</v>
      </c>
      <c r="E6" s="201" t="s">
        <v>1172</v>
      </c>
      <c r="F6" s="204">
        <f>10^3*CO2_IntensityGasolineDiesel/D6</f>
        <v>158.01237496513573</v>
      </c>
      <c r="G6" s="205" t="s">
        <v>389</v>
      </c>
      <c r="H6" s="206">
        <f>(fuel_intensity/D6)/Load</f>
        <v>1.355026257731855</v>
      </c>
      <c r="I6" s="207" t="s">
        <v>1413</v>
      </c>
      <c r="K6" s="257">
        <f>D6/$D$4-1</f>
        <v>0.11504424778761058</v>
      </c>
      <c r="L6" s="257">
        <f>F6/$F$4-1</f>
        <v>-0.10317460317460314</v>
      </c>
      <c r="M6" s="257">
        <f>H6/$H$4-1</f>
        <v>-0.10317460317460314</v>
      </c>
      <c r="N6" s="257"/>
      <c r="O6" s="186">
        <v>98</v>
      </c>
      <c r="P6" s="187" t="s">
        <v>389</v>
      </c>
      <c r="Q6" s="187">
        <v>23.2</v>
      </c>
      <c r="R6" s="188" t="s">
        <v>1172</v>
      </c>
      <c r="U6"/>
      <c r="V6"/>
      <c r="W6"/>
      <c r="X6" t="s">
        <v>1448</v>
      </c>
      <c r="Y6"/>
      <c r="Z6"/>
      <c r="AA6">
        <v>15000</v>
      </c>
      <c r="AB6" t="s">
        <v>1449</v>
      </c>
      <c r="AC6"/>
    </row>
    <row r="7" spans="1:31" ht="15" x14ac:dyDescent="0.25">
      <c r="A7" s="214">
        <v>2025</v>
      </c>
      <c r="B7" s="200">
        <v>56.2</v>
      </c>
      <c r="C7" s="207" t="s">
        <v>1426</v>
      </c>
      <c r="D7" s="203">
        <f>B7*MileToKm/LiterPerGallon</f>
        <v>23.893150737042323</v>
      </c>
      <c r="E7" s="201" t="s">
        <v>1172</v>
      </c>
      <c r="F7" s="204">
        <f>10^3*CO2_IntensityGasolineDiesel/D7</f>
        <v>106.27878600857882</v>
      </c>
      <c r="G7" s="205" t="s">
        <v>389</v>
      </c>
      <c r="H7" s="206">
        <f>(fuel_intensity/D7)/Load</f>
        <v>0.91138776765594509</v>
      </c>
      <c r="I7" s="207" t="s">
        <v>1413</v>
      </c>
      <c r="K7" s="257">
        <f>D7/$D$4-1</f>
        <v>0.65781710914454306</v>
      </c>
      <c r="L7" s="257">
        <f>F7/$F$4-1</f>
        <v>-0.39679715302491114</v>
      </c>
      <c r="M7" s="257">
        <f>H7/$H$4-1</f>
        <v>-0.39679715302491103</v>
      </c>
      <c r="O7" s="190">
        <f>10^3*P2/Q6</f>
        <v>109.45409716607062</v>
      </c>
      <c r="P7" s="191"/>
      <c r="Q7" s="192">
        <f>(1/O6)*P2*10^3</f>
        <v>25.911582186253447</v>
      </c>
      <c r="R7" s="193"/>
      <c r="W7"/>
      <c r="X7" t="s">
        <v>1451</v>
      </c>
      <c r="Y7"/>
      <c r="AA7">
        <v>30000</v>
      </c>
      <c r="AB7" t="s">
        <v>1452</v>
      </c>
      <c r="AE7"/>
    </row>
    <row r="8" spans="1:31" ht="15" x14ac:dyDescent="0.25">
      <c r="A8" s="214"/>
      <c r="B8" s="200"/>
      <c r="C8" s="202"/>
      <c r="D8" s="200"/>
      <c r="E8" s="201"/>
      <c r="F8" s="201"/>
      <c r="G8" s="201"/>
      <c r="H8" s="201"/>
      <c r="I8" s="202"/>
      <c r="U8" s="182" t="s">
        <v>1429</v>
      </c>
      <c r="V8" s="195">
        <v>0.43354926260589333</v>
      </c>
      <c r="W8" s="196" t="s">
        <v>1430</v>
      </c>
    </row>
    <row r="9" spans="1:31" ht="15" x14ac:dyDescent="0.25">
      <c r="A9" s="200"/>
      <c r="B9" s="209" t="s">
        <v>1441</v>
      </c>
      <c r="C9" s="202"/>
      <c r="I9" s="202"/>
      <c r="O9" s="216" t="s">
        <v>1458</v>
      </c>
      <c r="P9" s="217" t="s">
        <v>2140</v>
      </c>
      <c r="Q9" s="219" t="s">
        <v>1459</v>
      </c>
      <c r="V9" s="197" t="s">
        <v>1432</v>
      </c>
    </row>
    <row r="10" spans="1:31" x14ac:dyDescent="0.2">
      <c r="A10" s="202">
        <v>2014</v>
      </c>
      <c r="B10" s="184">
        <v>8</v>
      </c>
      <c r="C10" s="202" t="s">
        <v>1426</v>
      </c>
      <c r="D10" s="203">
        <f>B10*(MileToKm/LiterPerGallon)</f>
        <v>3.4011602472658109</v>
      </c>
      <c r="E10" s="293" t="s">
        <v>1172</v>
      </c>
      <c r="F10" s="204">
        <f>10^3*CO2_IntensityGasolineDiesel/D10</f>
        <v>746.60847171026626</v>
      </c>
      <c r="G10" s="205" t="s">
        <v>2140</v>
      </c>
      <c r="H10" s="206">
        <f>(fuel_intensity/D10)/load_MedTruck</f>
        <v>1.8820125708266844</v>
      </c>
      <c r="I10" s="207" t="s">
        <v>1459</v>
      </c>
      <c r="K10" s="263" t="s">
        <v>1631</v>
      </c>
      <c r="O10" s="745">
        <f>B10*(MileToKm/LiterPerGallon)*load_MedTruck</f>
        <v>18.512884047685024</v>
      </c>
      <c r="P10" s="746">
        <f>10^3*CO2_IntensityGasolineDiesel/O10</f>
        <v>137.16582719969955</v>
      </c>
      <c r="Q10" s="747">
        <f>(fuel_intensity/O10)</f>
        <v>1.8820125708266842</v>
      </c>
      <c r="U10" s="182" t="s">
        <v>1375</v>
      </c>
      <c r="V10" s="184">
        <f>8.91/V3</f>
        <v>2.3537803138373752</v>
      </c>
      <c r="W10" s="196" t="s">
        <v>1433</v>
      </c>
    </row>
    <row r="11" spans="1:31" x14ac:dyDescent="0.2">
      <c r="A11" s="200">
        <v>2016</v>
      </c>
      <c r="B11" s="200"/>
      <c r="C11" s="202"/>
      <c r="D11" s="203"/>
      <c r="E11" s="201"/>
      <c r="F11" s="204"/>
      <c r="G11" s="205"/>
      <c r="H11" s="206"/>
      <c r="I11" s="207"/>
      <c r="K11" s="257">
        <f>D11/$D$10-1</f>
        <v>-1</v>
      </c>
      <c r="L11" s="257"/>
      <c r="M11" s="257">
        <f>H11/$H$10-1</f>
        <v>-1</v>
      </c>
      <c r="O11" s="295"/>
      <c r="P11" s="305"/>
      <c r="Q11" s="294"/>
    </row>
    <row r="12" spans="1:31" x14ac:dyDescent="0.2">
      <c r="A12" s="200">
        <v>2027</v>
      </c>
      <c r="B12" s="200">
        <v>10.9</v>
      </c>
      <c r="C12" s="202" t="s">
        <v>1426</v>
      </c>
      <c r="D12" s="203">
        <f>B12*(MileToKm/LiterPerGallon)</f>
        <v>4.6340808368996678</v>
      </c>
      <c r="E12" s="293" t="s">
        <v>1172</v>
      </c>
      <c r="F12" s="204">
        <f>10^3*CO2_IntensityGasolineDiesel/D12</f>
        <v>547.96952052129632</v>
      </c>
      <c r="G12" s="205" t="s">
        <v>2140</v>
      </c>
      <c r="H12" s="206">
        <f>(fuel_intensity/D12)/load_MedTruck</f>
        <v>1.3812936299645386</v>
      </c>
      <c r="I12" s="207" t="s">
        <v>1459</v>
      </c>
      <c r="K12" s="257"/>
      <c r="L12" s="257"/>
      <c r="M12" s="257"/>
      <c r="O12" s="295">
        <f>B12*(MileToKm/LiterPerGallon)*load_MedTruck</f>
        <v>25.223804514970848</v>
      </c>
      <c r="P12" s="305">
        <f>10^3*CO2_IntensityGasolineDiesel/O12</f>
        <v>100.67216675207305</v>
      </c>
      <c r="Q12" s="748">
        <f>(fuel_intensity/O12)</f>
        <v>1.3812936299645386</v>
      </c>
      <c r="V12" s="183" t="s">
        <v>1434</v>
      </c>
    </row>
    <row r="13" spans="1:31" x14ac:dyDescent="0.2">
      <c r="A13" s="202"/>
      <c r="C13" s="202"/>
      <c r="I13" s="202"/>
      <c r="O13" s="292"/>
      <c r="P13" s="293"/>
      <c r="Q13" s="294"/>
      <c r="U13" s="182" t="s">
        <v>1375</v>
      </c>
      <c r="V13" s="198">
        <f>10.15/V3</f>
        <v>2.6813546785016116</v>
      </c>
      <c r="W13" s="196" t="s">
        <v>1433</v>
      </c>
    </row>
    <row r="14" spans="1:31" x14ac:dyDescent="0.2">
      <c r="A14" s="214"/>
      <c r="B14" s="209" t="s">
        <v>1431</v>
      </c>
      <c r="C14" s="202"/>
      <c r="D14" s="200"/>
      <c r="E14" s="201"/>
      <c r="F14" s="201"/>
      <c r="G14" s="201"/>
      <c r="H14" s="201"/>
      <c r="I14" s="202"/>
      <c r="O14" s="292"/>
      <c r="P14" s="293"/>
      <c r="Q14" s="294"/>
    </row>
    <row r="15" spans="1:31" x14ac:dyDescent="0.2">
      <c r="A15" s="202">
        <v>2014</v>
      </c>
      <c r="B15" s="184">
        <v>6</v>
      </c>
      <c r="C15" s="202" t="s">
        <v>1426</v>
      </c>
      <c r="D15" s="203">
        <f>B15*(MileToKm/LiterPerGallon)</f>
        <v>2.5508701854493583</v>
      </c>
      <c r="E15" s="293" t="s">
        <v>1172</v>
      </c>
      <c r="F15" s="296">
        <f>10^3*CO2_IntensityGasolineDiesel/D15</f>
        <v>995.47796228035497</v>
      </c>
      <c r="G15" s="205" t="s">
        <v>389</v>
      </c>
      <c r="H15" s="744">
        <f>(fuel_intensity/D15)/load_HeavyTruck</f>
        <v>1.2546750472177894</v>
      </c>
      <c r="I15" s="207" t="s">
        <v>1459</v>
      </c>
      <c r="K15" s="263" t="s">
        <v>1631</v>
      </c>
      <c r="O15" s="295">
        <f>B15*(MileToKm/LiterPerGallon)*load_HeavyTruck</f>
        <v>27.769326071527537</v>
      </c>
      <c r="P15" s="305">
        <f>10^3*CO2_IntensityGasolineDiesel/O15</f>
        <v>91.44388479979969</v>
      </c>
      <c r="Q15" s="748">
        <f>(fuel_intensity/O15)</f>
        <v>1.2546750472177894</v>
      </c>
      <c r="V15" s="182" t="s">
        <v>1435</v>
      </c>
    </row>
    <row r="16" spans="1:31" x14ac:dyDescent="0.2">
      <c r="A16" s="214">
        <v>2016</v>
      </c>
      <c r="B16" s="200"/>
      <c r="C16" s="202"/>
      <c r="D16" s="203"/>
      <c r="E16" s="201"/>
      <c r="F16" s="296"/>
      <c r="G16" s="205"/>
      <c r="H16" s="744"/>
      <c r="I16" s="207"/>
      <c r="K16" s="257"/>
      <c r="L16" s="257"/>
      <c r="M16" s="257"/>
      <c r="O16" s="295"/>
      <c r="P16" s="305"/>
      <c r="Q16" s="294"/>
      <c r="U16" s="182" t="s">
        <v>1375</v>
      </c>
      <c r="V16" s="199">
        <f>V8*V10+(1-V8)*V13</f>
        <v>2.5393350542528381</v>
      </c>
      <c r="W16" s="181" t="s">
        <v>2141</v>
      </c>
    </row>
    <row r="17" spans="1:27" x14ac:dyDescent="0.2">
      <c r="A17" s="214">
        <v>2025</v>
      </c>
      <c r="B17" s="200">
        <v>8.1999999999999993</v>
      </c>
      <c r="C17" s="202" t="s">
        <v>1426</v>
      </c>
      <c r="D17" s="203">
        <f>B17*(MileToKm/LiterPerGallon)</f>
        <v>3.4861892534474559</v>
      </c>
      <c r="E17" s="293" t="s">
        <v>1172</v>
      </c>
      <c r="F17" s="296">
        <f>10^3*CO2_IntensityGasolineDiesel/D17</f>
        <v>728.39850898562565</v>
      </c>
      <c r="G17" s="205" t="s">
        <v>389</v>
      </c>
      <c r="H17" s="744">
        <f>(fuel_intensity/D17)/load_HeavyTruck</f>
        <v>0.91805491259838257</v>
      </c>
      <c r="I17" s="207" t="s">
        <v>1459</v>
      </c>
      <c r="K17" s="257">
        <f>D17/$D$15-1</f>
        <v>0.36666666666666647</v>
      </c>
      <c r="L17" s="257"/>
      <c r="M17" s="257">
        <f>H17/$H$15-1</f>
        <v>-0.26829268292682928</v>
      </c>
      <c r="O17" s="749">
        <f>B17*(MileToKm/LiterPerGallon)*load_HeavyTruck</f>
        <v>37.951412297754295</v>
      </c>
      <c r="P17" s="750">
        <f>10^3*CO2_IntensityGasolineDiesel/O17</f>
        <v>66.910159609609536</v>
      </c>
      <c r="Q17" s="751">
        <f>(fuel_intensity/O17)</f>
        <v>0.91805491259838257</v>
      </c>
    </row>
    <row r="18" spans="1:27" x14ac:dyDescent="0.2">
      <c r="A18" s="214"/>
      <c r="B18" s="200"/>
      <c r="C18" s="202"/>
      <c r="D18" s="200"/>
      <c r="E18" s="201"/>
      <c r="F18" s="201"/>
      <c r="G18" s="201"/>
      <c r="H18" s="201"/>
      <c r="I18" s="202"/>
      <c r="U18" s="183" t="s">
        <v>1457</v>
      </c>
    </row>
    <row r="19" spans="1:27" ht="15" x14ac:dyDescent="0.25">
      <c r="A19" s="214"/>
      <c r="B19" s="210" t="s">
        <v>10</v>
      </c>
      <c r="C19" s="202"/>
      <c r="D19" s="200"/>
      <c r="E19" s="201"/>
      <c r="F19" s="201"/>
      <c r="G19" s="201"/>
      <c r="H19" s="201"/>
      <c r="I19" s="202"/>
      <c r="U19" t="s">
        <v>1425</v>
      </c>
      <c r="V19" s="221">
        <v>3.7854000000000001</v>
      </c>
      <c r="W19"/>
      <c r="X19"/>
      <c r="Y19"/>
      <c r="Z19"/>
      <c r="AA19"/>
    </row>
    <row r="20" spans="1:27" ht="15" x14ac:dyDescent="0.25">
      <c r="A20" s="214"/>
      <c r="B20" s="209" t="s">
        <v>1424</v>
      </c>
      <c r="C20" s="202"/>
      <c r="D20" s="200"/>
      <c r="E20" s="201"/>
      <c r="F20" s="201"/>
      <c r="G20" s="201"/>
      <c r="H20" s="201"/>
      <c r="I20" s="202"/>
      <c r="U20" t="s">
        <v>1454</v>
      </c>
      <c r="V20" s="221">
        <v>1.609</v>
      </c>
      <c r="W20" t="s">
        <v>1455</v>
      </c>
      <c r="X20" s="220">
        <v>0.8</v>
      </c>
      <c r="Y20"/>
    </row>
    <row r="21" spans="1:27" ht="15" x14ac:dyDescent="0.25">
      <c r="A21" s="202">
        <v>2010</v>
      </c>
      <c r="B21" s="264">
        <f>F21</f>
        <v>167.06151672716041</v>
      </c>
      <c r="C21" s="207" t="s">
        <v>389</v>
      </c>
      <c r="D21" s="181">
        <v>15.2</v>
      </c>
      <c r="E21" s="181" t="s">
        <v>1172</v>
      </c>
      <c r="F21" s="204">
        <f>10^3*CO2_IntensityGasolineDiesel/D21</f>
        <v>167.06151672716041</v>
      </c>
      <c r="G21" s="205" t="s">
        <v>389</v>
      </c>
      <c r="H21" s="206">
        <f>(fuel_intensity/D21)/Load</f>
        <v>1.4326266652960529</v>
      </c>
      <c r="I21" s="207" t="s">
        <v>1413</v>
      </c>
      <c r="K21" s="263" t="s">
        <v>1629</v>
      </c>
      <c r="U21" t="s">
        <v>1423</v>
      </c>
      <c r="V21" s="221">
        <v>34.841480500000003</v>
      </c>
      <c r="W21" t="s">
        <v>1456</v>
      </c>
      <c r="X21">
        <v>0.45359237000000002</v>
      </c>
      <c r="Y21"/>
    </row>
    <row r="22" spans="1:27" ht="15" x14ac:dyDescent="0.25">
      <c r="A22" s="202">
        <v>2013</v>
      </c>
      <c r="B22" s="264">
        <f>F22</f>
        <v>152.97199122005048</v>
      </c>
      <c r="C22" s="207" t="s">
        <v>389</v>
      </c>
      <c r="D22" s="181">
        <v>16.600000000000001</v>
      </c>
      <c r="E22" s="181" t="s">
        <v>1172</v>
      </c>
      <c r="F22" s="204">
        <f>10^3*CO2_IntensityGasolineDiesel/D22</f>
        <v>152.97199122005048</v>
      </c>
      <c r="G22" s="205" t="s">
        <v>389</v>
      </c>
      <c r="H22" s="206">
        <f>(fuel_intensity/D22)/Load</f>
        <v>1.3118027296686745</v>
      </c>
      <c r="I22" s="207" t="s">
        <v>1413</v>
      </c>
      <c r="K22" s="257">
        <f>D22/$D$21-1</f>
        <v>9.2105263157894912E-2</v>
      </c>
      <c r="L22" s="257">
        <f>F22/$F$21-1</f>
        <v>-8.4337349397590411E-2</v>
      </c>
      <c r="M22" s="257">
        <f>H22/$H$21-1</f>
        <v>-8.4337349397590633E-2</v>
      </c>
      <c r="U22" t="s">
        <v>1447</v>
      </c>
      <c r="V22" s="221">
        <f>(X22*$X$20/1000)*$X$21</f>
        <v>5.4431084400000005</v>
      </c>
      <c r="W22" t="s">
        <v>1448</v>
      </c>
      <c r="X22">
        <v>15000</v>
      </c>
      <c r="Y22" s="8" t="s">
        <v>1449</v>
      </c>
    </row>
    <row r="23" spans="1:27" ht="15" x14ac:dyDescent="0.25">
      <c r="A23" s="214">
        <v>2015</v>
      </c>
      <c r="B23" s="200">
        <v>140</v>
      </c>
      <c r="C23" s="207" t="s">
        <v>389</v>
      </c>
      <c r="D23" s="200">
        <v>16.7</v>
      </c>
      <c r="E23" s="205" t="s">
        <v>1172</v>
      </c>
      <c r="F23" s="204">
        <f>10^3*CO2_IntensityGasolineDiesel/D23</f>
        <v>152.05599127262505</v>
      </c>
      <c r="G23" s="205" t="s">
        <v>389</v>
      </c>
      <c r="H23" s="206">
        <f>(fuel_intensity/D23)/Load</f>
        <v>1.3039476235029941</v>
      </c>
      <c r="I23" s="207" t="s">
        <v>1413</v>
      </c>
      <c r="K23" s="257">
        <f>D23/$D$21-1</f>
        <v>9.8684210526315708E-2</v>
      </c>
      <c r="L23" s="257">
        <f>F23/$F$21-1</f>
        <v>-8.9820359281437057E-2</v>
      </c>
      <c r="M23" s="257">
        <f>H23/$H$21-1</f>
        <v>-8.9820359281437168E-2</v>
      </c>
      <c r="U23" t="s">
        <v>1450</v>
      </c>
      <c r="V23" s="221">
        <f>(X23*$X$20/1000)*$X$21</f>
        <v>10.886216880000001</v>
      </c>
      <c r="W23" t="s">
        <v>1451</v>
      </c>
      <c r="X23">
        <v>30000</v>
      </c>
      <c r="Y23" t="s">
        <v>1452</v>
      </c>
    </row>
    <row r="24" spans="1:27" x14ac:dyDescent="0.2">
      <c r="A24" s="214">
        <v>2020</v>
      </c>
      <c r="B24" s="200">
        <v>97</v>
      </c>
      <c r="C24" s="207" t="s">
        <v>389</v>
      </c>
      <c r="D24" s="208">
        <v>24.1</v>
      </c>
      <c r="E24" s="205" t="s">
        <v>1172</v>
      </c>
      <c r="F24" s="204">
        <f>10^3*CO2_IntensityGasolineDiesel/D24</f>
        <v>105.36659976152855</v>
      </c>
      <c r="G24" s="205" t="s">
        <v>389</v>
      </c>
      <c r="H24" s="206">
        <f>(fuel_intensity/D24)/Load</f>
        <v>0.90356536566390044</v>
      </c>
      <c r="I24" s="207" t="s">
        <v>1413</v>
      </c>
      <c r="K24" s="257">
        <f>D24/$D$21-1</f>
        <v>0.58552631578947389</v>
      </c>
      <c r="L24" s="257">
        <f>F24/$F$21-1</f>
        <v>-0.36929460580912865</v>
      </c>
      <c r="M24" s="257">
        <f>H24/$H$21-1</f>
        <v>-0.36929460580912876</v>
      </c>
    </row>
    <row r="25" spans="1:27" x14ac:dyDescent="0.2">
      <c r="A25" s="214"/>
      <c r="B25" s="200"/>
      <c r="C25" s="202"/>
      <c r="D25" s="200"/>
      <c r="E25" s="201"/>
      <c r="F25" s="201"/>
      <c r="G25" s="201"/>
      <c r="H25" s="201"/>
      <c r="I25" s="202"/>
      <c r="N25" s="196"/>
      <c r="O25" s="196" t="s">
        <v>792</v>
      </c>
    </row>
    <row r="26" spans="1:27" x14ac:dyDescent="0.2">
      <c r="A26" s="214"/>
      <c r="B26" s="209" t="s">
        <v>1436</v>
      </c>
      <c r="C26" s="202"/>
      <c r="D26" s="200"/>
      <c r="E26" s="201"/>
      <c r="F26" s="201"/>
      <c r="G26" s="201"/>
      <c r="H26" s="201"/>
      <c r="I26" s="202"/>
    </row>
    <row r="27" spans="1:27" x14ac:dyDescent="0.2">
      <c r="A27" s="214">
        <v>2020</v>
      </c>
      <c r="B27" s="200">
        <v>14.1</v>
      </c>
      <c r="C27" s="207" t="s">
        <v>1172</v>
      </c>
      <c r="D27" s="200">
        <f>B27</f>
        <v>14.1</v>
      </c>
      <c r="E27" s="201" t="s">
        <v>1172</v>
      </c>
      <c r="F27" s="201">
        <v>166</v>
      </c>
      <c r="G27" s="205" t="s">
        <v>389</v>
      </c>
      <c r="H27" s="206">
        <f>(fuel_intensity/D27)/Load</f>
        <v>1.5443918661347518</v>
      </c>
      <c r="I27" s="207" t="s">
        <v>1413</v>
      </c>
    </row>
    <row r="28" spans="1:27" x14ac:dyDescent="0.2">
      <c r="A28" s="214"/>
      <c r="B28" s="200"/>
      <c r="C28" s="202"/>
      <c r="D28" s="200"/>
      <c r="E28" s="201"/>
      <c r="F28" s="201"/>
      <c r="G28" s="201"/>
      <c r="H28" s="201"/>
      <c r="I28" s="202"/>
    </row>
    <row r="29" spans="1:27" x14ac:dyDescent="0.2">
      <c r="A29" s="214"/>
      <c r="B29" s="210" t="s">
        <v>0</v>
      </c>
      <c r="C29" s="202"/>
      <c r="D29" s="200"/>
      <c r="E29" s="201"/>
      <c r="F29" s="201"/>
      <c r="G29" s="201"/>
      <c r="H29" s="201"/>
      <c r="I29" s="202"/>
    </row>
    <row r="30" spans="1:27" x14ac:dyDescent="0.2">
      <c r="A30" s="214"/>
      <c r="B30" s="209" t="s">
        <v>1424</v>
      </c>
      <c r="C30" s="202"/>
      <c r="D30" s="200"/>
      <c r="E30" s="201"/>
      <c r="F30" s="201"/>
      <c r="G30" s="201"/>
      <c r="H30" s="201"/>
      <c r="I30" s="202"/>
    </row>
    <row r="31" spans="1:27" ht="15" x14ac:dyDescent="0.25">
      <c r="A31" s="202">
        <v>2012</v>
      </c>
      <c r="B31" s="181">
        <v>2.1</v>
      </c>
      <c r="C31" s="202" t="s">
        <v>1437</v>
      </c>
      <c r="D31" s="260">
        <v>16.591181190476192</v>
      </c>
      <c r="E31" s="205" t="s">
        <v>1172</v>
      </c>
      <c r="F31" s="259">
        <v>138.62786341699803</v>
      </c>
      <c r="G31" s="205" t="s">
        <v>389</v>
      </c>
      <c r="H31" s="194">
        <f>B31/Load</f>
        <v>1.3125</v>
      </c>
      <c r="I31" s="207" t="s">
        <v>1413</v>
      </c>
      <c r="K31" s="263" t="s">
        <v>1630</v>
      </c>
    </row>
    <row r="32" spans="1:27" ht="15" x14ac:dyDescent="0.25">
      <c r="A32" s="202">
        <v>2013</v>
      </c>
      <c r="B32" s="181">
        <v>2.0099999999999998</v>
      </c>
      <c r="C32" s="202" t="s">
        <v>1437</v>
      </c>
      <c r="D32" s="260">
        <v>17.334069900497514</v>
      </c>
      <c r="E32" s="205" t="s">
        <v>1172</v>
      </c>
      <c r="F32" s="259">
        <v>132.68666927055523</v>
      </c>
      <c r="G32" s="205" t="s">
        <v>389</v>
      </c>
      <c r="H32" s="194">
        <f>B32/Load</f>
        <v>1.2562499999999999</v>
      </c>
      <c r="I32" s="207" t="s">
        <v>1413</v>
      </c>
      <c r="K32" s="257"/>
      <c r="L32" s="257"/>
      <c r="M32" s="257"/>
    </row>
    <row r="33" spans="1:13" ht="15" x14ac:dyDescent="0.25">
      <c r="A33" s="215">
        <v>2018</v>
      </c>
      <c r="B33" s="211">
        <f>2.07*(1-12.1%)</f>
        <v>1.8195299999999999</v>
      </c>
      <c r="C33" s="207" t="s">
        <v>1437</v>
      </c>
      <c r="D33" s="260">
        <v>19.148615576549993</v>
      </c>
      <c r="E33" s="205" t="s">
        <v>1172</v>
      </c>
      <c r="F33" s="259">
        <v>120.11312205863349</v>
      </c>
      <c r="G33" s="205" t="s">
        <v>389</v>
      </c>
      <c r="H33" s="261">
        <f>B33/Load</f>
        <v>1.1372062499999998</v>
      </c>
      <c r="I33" s="207" t="s">
        <v>1413</v>
      </c>
      <c r="K33" s="257">
        <f>D33/$D$31-1</f>
        <v>0.15414420207416213</v>
      </c>
      <c r="L33" s="257">
        <f>F33/$F$31-1</f>
        <v>-0.13355714285714315</v>
      </c>
      <c r="M33" s="257">
        <f>H33/$H$31-1</f>
        <v>-0.13355714285714304</v>
      </c>
    </row>
    <row r="34" spans="1:13" x14ac:dyDescent="0.2">
      <c r="A34" s="214"/>
      <c r="D34" s="200"/>
      <c r="E34" s="201"/>
      <c r="F34" s="201"/>
      <c r="G34" s="201"/>
      <c r="H34" s="201"/>
      <c r="I34" s="202"/>
      <c r="M34" s="182"/>
    </row>
    <row r="35" spans="1:13" x14ac:dyDescent="0.2">
      <c r="A35" s="214"/>
      <c r="B35" s="200"/>
      <c r="C35" s="202"/>
      <c r="D35" s="200"/>
      <c r="E35" s="201"/>
      <c r="F35" s="201"/>
      <c r="G35" s="201"/>
      <c r="H35" s="201"/>
      <c r="I35" s="202"/>
      <c r="M35" s="182"/>
    </row>
    <row r="36" spans="1:13" x14ac:dyDescent="0.2">
      <c r="A36" s="214"/>
      <c r="B36" s="210" t="s">
        <v>18</v>
      </c>
      <c r="C36" s="202"/>
      <c r="D36" s="200"/>
      <c r="E36" s="201"/>
      <c r="F36" s="201"/>
      <c r="G36" s="201"/>
      <c r="H36" s="201"/>
      <c r="I36" s="202"/>
      <c r="M36" s="182"/>
    </row>
    <row r="37" spans="1:13" x14ac:dyDescent="0.2">
      <c r="A37" s="214">
        <v>2010</v>
      </c>
      <c r="B37" s="208">
        <v>34.6</v>
      </c>
      <c r="C37" s="202" t="s">
        <v>1426</v>
      </c>
      <c r="D37" s="203">
        <f>B37*MileToKm/LiterPerGallon</f>
        <v>14.710018069424633</v>
      </c>
      <c r="E37" s="201" t="s">
        <v>1172</v>
      </c>
      <c r="F37" s="204">
        <f>10^3*CO2_IntensityGasolineDiesel/D37</f>
        <v>172.62623623358755</v>
      </c>
      <c r="G37" s="205" t="s">
        <v>389</v>
      </c>
      <c r="H37" s="206">
        <f>(fuel_intensity/D37)/Load</f>
        <v>1.4803466052677487</v>
      </c>
      <c r="I37" s="207" t="s">
        <v>1413</v>
      </c>
      <c r="K37" s="263" t="s">
        <v>1629</v>
      </c>
      <c r="M37" s="182"/>
    </row>
    <row r="38" spans="1:13" x14ac:dyDescent="0.2">
      <c r="A38" s="214">
        <v>2016</v>
      </c>
      <c r="B38" s="208">
        <v>40.799999999999997</v>
      </c>
      <c r="C38" s="202" t="s">
        <v>1426</v>
      </c>
      <c r="D38" s="203">
        <f>B38*MileToKm/LiterPerGallon</f>
        <v>17.345917261055632</v>
      </c>
      <c r="E38" s="201" t="s">
        <v>1172</v>
      </c>
      <c r="F38" s="204">
        <f>10^3*CO2_IntensityGasolineDiesel/D38</f>
        <v>146.39381798240518</v>
      </c>
      <c r="G38" s="205" t="s">
        <v>389</v>
      </c>
      <c r="H38" s="206">
        <f>(fuel_intensity/D38)/Load</f>
        <v>1.2553919740751012</v>
      </c>
      <c r="I38" s="207" t="s">
        <v>1413</v>
      </c>
      <c r="K38" s="257">
        <f>D38/$D$37-1</f>
        <v>0.17919075144508634</v>
      </c>
      <c r="L38" s="257">
        <f>F38/$F$37-1</f>
        <v>-0.15196078431372517</v>
      </c>
      <c r="M38" s="257">
        <f>H38/$H$37-1</f>
        <v>-0.15196078431372517</v>
      </c>
    </row>
    <row r="39" spans="1:13" x14ac:dyDescent="0.2">
      <c r="A39" s="214">
        <v>2025</v>
      </c>
      <c r="B39" s="200">
        <v>56.2</v>
      </c>
      <c r="C39" s="207" t="s">
        <v>1426</v>
      </c>
      <c r="D39" s="203">
        <f>B39*MileToKm/LiterPerGallon</f>
        <v>23.893150737042323</v>
      </c>
      <c r="E39" s="201" t="s">
        <v>1172</v>
      </c>
      <c r="F39" s="204">
        <f>10^3*CO2_IntensityGasolineDiesel/D39</f>
        <v>106.27878600857882</v>
      </c>
      <c r="G39" s="205" t="s">
        <v>389</v>
      </c>
      <c r="H39" s="206">
        <f>(fuel_intensity/D39)/Load</f>
        <v>0.91138776765594509</v>
      </c>
      <c r="I39" s="207" t="s">
        <v>1413</v>
      </c>
      <c r="K39" s="257">
        <f>D39/$D$37-1</f>
        <v>0.62427745664739875</v>
      </c>
      <c r="L39" s="257">
        <f>F39/$F$37-1</f>
        <v>-0.38434163701067614</v>
      </c>
      <c r="M39" s="257">
        <f>H39/$H$37-1</f>
        <v>-0.38434163701067603</v>
      </c>
    </row>
    <row r="40" spans="1:13" x14ac:dyDescent="0.2">
      <c r="A40" s="214"/>
      <c r="B40" s="200"/>
      <c r="C40" s="207"/>
      <c r="D40" s="200"/>
      <c r="E40" s="201"/>
      <c r="F40" s="201"/>
      <c r="G40" s="201"/>
      <c r="H40" s="201"/>
      <c r="I40" s="202"/>
    </row>
    <row r="41" spans="1:13" x14ac:dyDescent="0.2">
      <c r="A41" s="214"/>
      <c r="B41" s="210" t="s">
        <v>4</v>
      </c>
      <c r="C41" s="207"/>
      <c r="D41" s="200"/>
      <c r="E41" s="201"/>
      <c r="F41" s="201"/>
      <c r="G41" s="201"/>
      <c r="H41" s="201"/>
      <c r="I41" s="202"/>
    </row>
    <row r="42" spans="1:13" x14ac:dyDescent="0.2">
      <c r="A42" s="214">
        <v>2010</v>
      </c>
      <c r="B42" s="208">
        <v>138</v>
      </c>
      <c r="C42" s="207" t="s">
        <v>389</v>
      </c>
      <c r="D42" s="203">
        <f>(1/B42)*$P$2*10^3</f>
        <v>18.400978654006074</v>
      </c>
      <c r="E42" s="205" t="s">
        <v>1172</v>
      </c>
      <c r="F42" s="204">
        <f>B42</f>
        <v>138</v>
      </c>
      <c r="G42" s="205" t="s">
        <v>389</v>
      </c>
      <c r="H42" s="206">
        <f>(fuel_intensity/D42)/Load</f>
        <v>1.1834112588223218</v>
      </c>
      <c r="I42" s="207" t="s">
        <v>1413</v>
      </c>
      <c r="K42" s="263" t="s">
        <v>1629</v>
      </c>
    </row>
    <row r="43" spans="1:13" x14ac:dyDescent="0.2">
      <c r="A43" s="214">
        <v>2016</v>
      </c>
      <c r="B43" s="200">
        <v>130</v>
      </c>
      <c r="C43" s="207" t="s">
        <v>389</v>
      </c>
      <c r="D43" s="203">
        <f>(1/B43)*$P$2*10^3</f>
        <v>19.533346571175681</v>
      </c>
      <c r="E43" s="205" t="s">
        <v>1172</v>
      </c>
      <c r="F43" s="204">
        <f>10^3*CO2_IntensityGasolineDiesel/D43</f>
        <v>130</v>
      </c>
      <c r="G43" s="205" t="s">
        <v>389</v>
      </c>
      <c r="H43" s="206">
        <f>(fuel_intensity/D43)/Load</f>
        <v>1.114807707586245</v>
      </c>
      <c r="I43" s="207" t="s">
        <v>1413</v>
      </c>
      <c r="K43" s="257">
        <f>D43/$D$42-1</f>
        <v>6.1538461538461542E-2</v>
      </c>
      <c r="L43" s="257">
        <f>F43/$F$42-1</f>
        <v>-5.7971014492753659E-2</v>
      </c>
      <c r="M43" s="262">
        <f>H43/$H$42-1</f>
        <v>-5.797101449275377E-2</v>
      </c>
    </row>
    <row r="44" spans="1:13" x14ac:dyDescent="0.2">
      <c r="A44" s="214">
        <v>2021</v>
      </c>
      <c r="B44" s="200">
        <v>113</v>
      </c>
      <c r="C44" s="207" t="s">
        <v>389</v>
      </c>
      <c r="D44" s="203">
        <f>(1/B44)*$P$2*10^3</f>
        <v>22.47199163055609</v>
      </c>
      <c r="E44" s="205" t="s">
        <v>1172</v>
      </c>
      <c r="F44" s="204">
        <f>10^3*CO2_IntensityGasolineDiesel/D44</f>
        <v>113</v>
      </c>
      <c r="G44" s="205" t="s">
        <v>389</v>
      </c>
      <c r="H44" s="206">
        <f>(fuel_intensity/D44)/Load</f>
        <v>0.96902516120958238</v>
      </c>
      <c r="I44" s="207" t="s">
        <v>1413</v>
      </c>
      <c r="K44" s="257">
        <f>D44/$D$42-1</f>
        <v>0.22123893805309724</v>
      </c>
      <c r="L44" s="257">
        <f>F44/$F$42-1</f>
        <v>-0.1811594202898551</v>
      </c>
      <c r="M44" s="262">
        <f>H44/$H$42-1</f>
        <v>-0.18115942028985499</v>
      </c>
    </row>
    <row r="45" spans="1:13" x14ac:dyDescent="0.2">
      <c r="A45" s="214"/>
      <c r="B45" s="200"/>
      <c r="C45" s="202"/>
      <c r="D45" s="200"/>
      <c r="E45" s="201"/>
      <c r="F45" s="201"/>
      <c r="G45" s="201"/>
      <c r="H45" s="201"/>
      <c r="I45" s="202"/>
    </row>
    <row r="46" spans="1:13" x14ac:dyDescent="0.2">
      <c r="A46" s="214"/>
      <c r="B46" s="210" t="s">
        <v>916</v>
      </c>
      <c r="C46" s="202"/>
      <c r="D46" s="200"/>
      <c r="E46" s="201"/>
      <c r="F46" s="201"/>
      <c r="G46" s="201"/>
      <c r="H46" s="201"/>
      <c r="I46" s="202"/>
    </row>
    <row r="47" spans="1:13" x14ac:dyDescent="0.2">
      <c r="A47" s="214"/>
      <c r="B47" s="209" t="s">
        <v>1578</v>
      </c>
      <c r="C47" s="202"/>
      <c r="D47" s="200"/>
      <c r="E47" s="201"/>
      <c r="F47" s="201"/>
      <c r="G47" s="201"/>
      <c r="H47" s="201"/>
      <c r="I47" s="202"/>
    </row>
    <row r="48" spans="1:13" x14ac:dyDescent="0.2">
      <c r="A48" s="214">
        <v>2011</v>
      </c>
      <c r="B48" s="203">
        <f>100/D48</f>
        <v>6.8915679207796057</v>
      </c>
      <c r="C48" s="207" t="s">
        <v>1439</v>
      </c>
      <c r="D48" s="203">
        <f>10^3*CO2_IntensityGasolineDiesel/F48</f>
        <v>14.510486024301933</v>
      </c>
      <c r="E48" s="205" t="s">
        <v>1172</v>
      </c>
      <c r="F48" s="235">
        <v>175</v>
      </c>
      <c r="G48" s="205" t="s">
        <v>389</v>
      </c>
      <c r="H48" s="206">
        <f>(fuel_intensity/D48)/Load</f>
        <v>1.5007026832891761</v>
      </c>
      <c r="I48" s="207" t="s">
        <v>1413</v>
      </c>
    </row>
    <row r="49" spans="1:15" x14ac:dyDescent="0.2">
      <c r="A49" s="214">
        <v>2020</v>
      </c>
      <c r="B49" s="203">
        <f>100/D49</f>
        <v>5.7889170534548686</v>
      </c>
      <c r="C49" s="207" t="s">
        <v>1439</v>
      </c>
      <c r="D49" s="203">
        <f>10^3*CO2_IntensityGasolineDiesel/F49</f>
        <v>17.274388124168969</v>
      </c>
      <c r="E49" s="205" t="s">
        <v>1172</v>
      </c>
      <c r="F49" s="235">
        <v>147</v>
      </c>
      <c r="G49" s="205" t="s">
        <v>389</v>
      </c>
      <c r="H49" s="206">
        <f>(fuel_intensity/D49)/Load</f>
        <v>1.2605902539629079</v>
      </c>
      <c r="I49" s="207" t="s">
        <v>1413</v>
      </c>
    </row>
    <row r="50" spans="1:15" x14ac:dyDescent="0.2">
      <c r="A50" s="214"/>
      <c r="B50" s="212" t="s">
        <v>1424</v>
      </c>
      <c r="C50" s="202"/>
      <c r="D50" s="203"/>
      <c r="E50" s="201"/>
      <c r="F50" s="236"/>
      <c r="H50" s="206"/>
      <c r="I50" s="202"/>
    </row>
    <row r="51" spans="1:15" x14ac:dyDescent="0.2">
      <c r="A51" s="214">
        <v>2010</v>
      </c>
      <c r="B51" s="203">
        <f>100/D51</f>
        <v>5.5132543366236852</v>
      </c>
      <c r="C51" s="207" t="s">
        <v>1439</v>
      </c>
      <c r="D51" s="203">
        <f>10^3*CO2_IntensityGasolineDiesel/F51</f>
        <v>18.138107530377415</v>
      </c>
      <c r="E51" s="205" t="s">
        <v>1172</v>
      </c>
      <c r="F51" s="236">
        <v>140</v>
      </c>
      <c r="G51" s="205" t="s">
        <v>389</v>
      </c>
      <c r="H51" s="206">
        <f>(fuel_intensity/D51)/Load</f>
        <v>1.200562146631341</v>
      </c>
      <c r="I51" s="207" t="s">
        <v>1413</v>
      </c>
      <c r="K51" s="263" t="s">
        <v>1629</v>
      </c>
    </row>
    <row r="52" spans="1:15" x14ac:dyDescent="0.2">
      <c r="A52" s="214">
        <v>2012</v>
      </c>
      <c r="B52" s="203">
        <f>100/D52</f>
        <v>5.1982112316737599</v>
      </c>
      <c r="C52" s="207" t="s">
        <v>1439</v>
      </c>
      <c r="D52" s="203">
        <f>10^3*CO2_IntensityGasolineDiesel/F52</f>
        <v>19.237386774642715</v>
      </c>
      <c r="E52" s="205" t="s">
        <v>1172</v>
      </c>
      <c r="F52" s="236">
        <v>132</v>
      </c>
      <c r="G52" s="205" t="s">
        <v>389</v>
      </c>
      <c r="H52" s="206">
        <f>(fuel_intensity/D52)/Load</f>
        <v>1.1319585953952642</v>
      </c>
      <c r="I52" s="207" t="s">
        <v>1413</v>
      </c>
      <c r="K52" s="257">
        <f>D52/$D$51-1</f>
        <v>6.0606060606060774E-2</v>
      </c>
      <c r="L52" s="257">
        <f>F52/$F$51-1</f>
        <v>-5.7142857142857162E-2</v>
      </c>
      <c r="M52" s="257">
        <f>H52/$H$51-1</f>
        <v>-5.7142857142857273E-2</v>
      </c>
    </row>
    <row r="53" spans="1:15" x14ac:dyDescent="0.2">
      <c r="A53" s="214">
        <v>2015</v>
      </c>
      <c r="B53" s="203">
        <f>100/D53</f>
        <v>5.1194504554362776</v>
      </c>
      <c r="C53" s="207" t="s">
        <v>1439</v>
      </c>
      <c r="D53" s="203">
        <f>10^3*CO2_IntensityGasolineDiesel/F53</f>
        <v>19.533346571175681</v>
      </c>
      <c r="E53" s="205" t="s">
        <v>1172</v>
      </c>
      <c r="F53" s="235">
        <v>130</v>
      </c>
      <c r="G53" s="205" t="s">
        <v>389</v>
      </c>
      <c r="H53" s="206">
        <f>(fuel_intensity/D53)/Load</f>
        <v>1.114807707586245</v>
      </c>
      <c r="I53" s="207" t="s">
        <v>1413</v>
      </c>
      <c r="K53" s="257">
        <f>D53/$D$51-1</f>
        <v>7.6923076923077094E-2</v>
      </c>
      <c r="L53" s="257">
        <f>F53/$F$51-1</f>
        <v>-7.1428571428571397E-2</v>
      </c>
      <c r="M53" s="257">
        <f>H53/$H$51-1</f>
        <v>-7.1428571428571508E-2</v>
      </c>
    </row>
    <row r="54" spans="1:15" x14ac:dyDescent="0.2">
      <c r="A54" s="214">
        <v>2020</v>
      </c>
      <c r="B54" s="203">
        <f>100/D54</f>
        <v>3.7411368712803577</v>
      </c>
      <c r="C54" s="207" t="s">
        <v>1439</v>
      </c>
      <c r="D54" s="203">
        <f>10^3*CO2_IntensityGasolineDiesel/F54</f>
        <v>26.729842676345665</v>
      </c>
      <c r="E54" s="205" t="s">
        <v>1172</v>
      </c>
      <c r="F54" s="235">
        <v>95</v>
      </c>
      <c r="G54" s="205" t="s">
        <v>389</v>
      </c>
      <c r="H54" s="206">
        <f>(fuel_intensity/D54)/Load</f>
        <v>0.8146671709284099</v>
      </c>
      <c r="I54" s="207" t="s">
        <v>1413</v>
      </c>
      <c r="K54" s="257">
        <f>D54/$D$51-1</f>
        <v>0.47368421052631593</v>
      </c>
      <c r="L54" s="257">
        <f>F54/$F$51-1</f>
        <v>-0.3214285714285714</v>
      </c>
      <c r="M54" s="257">
        <f>H54/$H$51-1</f>
        <v>-0.32142857142857151</v>
      </c>
    </row>
    <row r="55" spans="1:15" ht="15" x14ac:dyDescent="0.25">
      <c r="A55" s="304"/>
      <c r="B55" s="295"/>
      <c r="C55" s="299"/>
      <c r="D55" s="295"/>
      <c r="E55" s="297"/>
      <c r="F55" s="306"/>
      <c r="G55" s="297"/>
      <c r="H55" s="298"/>
      <c r="I55" s="299"/>
      <c r="J55" s="290"/>
      <c r="K55" s="307"/>
      <c r="L55" s="307"/>
      <c r="M55" s="307"/>
      <c r="N55" s="290"/>
      <c r="O55" s="290"/>
    </row>
    <row r="56" spans="1:15" ht="15" x14ac:dyDescent="0.25">
      <c r="A56" s="304"/>
      <c r="B56" s="302" t="s">
        <v>17</v>
      </c>
      <c r="C56" s="294"/>
      <c r="D56" s="292"/>
      <c r="E56" s="293"/>
      <c r="F56" s="293"/>
      <c r="G56" s="293"/>
      <c r="H56" s="293"/>
      <c r="I56" s="294"/>
      <c r="J56" s="290"/>
      <c r="K56" s="290"/>
      <c r="L56" s="290"/>
      <c r="M56" s="290"/>
      <c r="N56" s="290"/>
      <c r="O56" s="290"/>
    </row>
    <row r="57" spans="1:15" ht="15" x14ac:dyDescent="0.25">
      <c r="A57" s="304"/>
      <c r="B57" s="310" t="s">
        <v>1436</v>
      </c>
      <c r="C57" s="299"/>
      <c r="D57" s="295"/>
      <c r="E57" s="297"/>
      <c r="F57" s="306"/>
      <c r="G57" s="297"/>
      <c r="H57" s="298"/>
      <c r="I57" s="299"/>
      <c r="J57" s="290"/>
      <c r="K57" s="307"/>
      <c r="L57" s="307"/>
      <c r="M57" s="307"/>
      <c r="N57" s="290"/>
      <c r="O57" s="290"/>
    </row>
    <row r="58" spans="1:15" ht="15" x14ac:dyDescent="0.25">
      <c r="A58" s="304" t="s">
        <v>1724</v>
      </c>
      <c r="B58" s="295">
        <v>7.8740157480314963</v>
      </c>
      <c r="C58" s="299" t="s">
        <v>1439</v>
      </c>
      <c r="D58" s="292">
        <v>12.7</v>
      </c>
      <c r="E58" s="297" t="s">
        <v>1172</v>
      </c>
      <c r="F58" s="296">
        <v>199.94764206715263</v>
      </c>
      <c r="G58" s="297" t="s">
        <v>389</v>
      </c>
      <c r="H58" s="298">
        <v>1.7146397883858269</v>
      </c>
      <c r="I58" s="299" t="s">
        <v>1413</v>
      </c>
      <c r="J58" s="290"/>
      <c r="K58" s="290"/>
      <c r="L58" s="290"/>
      <c r="M58" s="290"/>
      <c r="N58" s="290"/>
      <c r="O58" s="290"/>
    </row>
    <row r="59" spans="1:15" ht="15" x14ac:dyDescent="0.25">
      <c r="A59" s="304" t="s">
        <v>1725</v>
      </c>
      <c r="B59" s="295">
        <v>10.526315789473685</v>
      </c>
      <c r="C59" s="299" t="s">
        <v>1439</v>
      </c>
      <c r="D59" s="295">
        <v>9.5</v>
      </c>
      <c r="E59" s="297" t="s">
        <v>1172</v>
      </c>
      <c r="F59" s="296">
        <v>267.29842676345669</v>
      </c>
      <c r="G59" s="297" t="s">
        <v>389</v>
      </c>
      <c r="H59" s="298">
        <v>2.2922026644736846</v>
      </c>
      <c r="I59" s="299" t="s">
        <v>1413</v>
      </c>
      <c r="J59" s="290"/>
      <c r="K59" s="308" t="s">
        <v>1726</v>
      </c>
      <c r="L59" s="307"/>
      <c r="M59" s="307"/>
      <c r="N59" s="290"/>
      <c r="O59" s="290"/>
    </row>
    <row r="60" spans="1:15" ht="15" x14ac:dyDescent="0.25">
      <c r="A60" s="304" t="s">
        <v>1727</v>
      </c>
      <c r="B60" s="295">
        <v>6.4935064935064934</v>
      </c>
      <c r="C60" s="299" t="s">
        <v>1439</v>
      </c>
      <c r="D60" s="292">
        <v>15.4</v>
      </c>
      <c r="E60" s="297" t="s">
        <v>1172</v>
      </c>
      <c r="F60" s="296">
        <v>164.89188663979468</v>
      </c>
      <c r="G60" s="297" t="s">
        <v>389</v>
      </c>
      <c r="H60" s="298">
        <v>1.4140211241883118</v>
      </c>
      <c r="I60" s="299" t="s">
        <v>1413</v>
      </c>
      <c r="J60" s="291" t="s">
        <v>1728</v>
      </c>
      <c r="K60" s="307">
        <v>0.21259842519685046</v>
      </c>
      <c r="L60" s="307">
        <v>-0.17532467532467544</v>
      </c>
      <c r="M60" s="307">
        <v>-0.17532467532467533</v>
      </c>
      <c r="N60" s="290"/>
      <c r="O60" s="290"/>
    </row>
    <row r="61" spans="1:15" ht="15" x14ac:dyDescent="0.25">
      <c r="A61" s="304" t="s">
        <v>1729</v>
      </c>
      <c r="B61" s="295">
        <v>9.3457943925233646</v>
      </c>
      <c r="C61" s="299" t="s">
        <v>1439</v>
      </c>
      <c r="D61" s="295">
        <v>10.7</v>
      </c>
      <c r="E61" s="297" t="s">
        <v>1172</v>
      </c>
      <c r="F61" s="296">
        <v>237.32103310774193</v>
      </c>
      <c r="G61" s="297" t="s">
        <v>389</v>
      </c>
      <c r="H61" s="298">
        <v>2.0351332067757011</v>
      </c>
      <c r="I61" s="299" t="s">
        <v>1413</v>
      </c>
      <c r="J61" s="291" t="s">
        <v>1730</v>
      </c>
      <c r="K61" s="307">
        <v>0.12631578947368416</v>
      </c>
      <c r="L61" s="307">
        <v>-0.11214953271028039</v>
      </c>
      <c r="M61" s="307">
        <v>-0.1121495327102805</v>
      </c>
      <c r="N61" s="290"/>
      <c r="O61" s="309"/>
    </row>
    <row r="62" spans="1:15" ht="15" x14ac:dyDescent="0.25">
      <c r="A62" s="304"/>
      <c r="B62" s="310" t="s">
        <v>1424</v>
      </c>
      <c r="C62" s="299"/>
      <c r="D62" s="292"/>
      <c r="E62" s="293"/>
      <c r="F62" s="296"/>
      <c r="G62" s="297"/>
      <c r="H62" s="298"/>
      <c r="I62" s="299"/>
      <c r="J62" s="290"/>
      <c r="K62" s="307"/>
      <c r="L62" s="307"/>
      <c r="M62" s="307"/>
      <c r="N62" s="290"/>
      <c r="O62" s="290"/>
    </row>
    <row r="63" spans="1:15" ht="15" x14ac:dyDescent="0.25">
      <c r="A63" s="304" t="s">
        <v>1724</v>
      </c>
      <c r="B63" s="295">
        <v>6.5359477124183005</v>
      </c>
      <c r="C63" s="299" t="s">
        <v>1439</v>
      </c>
      <c r="D63" s="295">
        <v>15.3</v>
      </c>
      <c r="E63" s="297" t="s">
        <v>1172</v>
      </c>
      <c r="F63" s="296">
        <v>165.9696113890744</v>
      </c>
      <c r="G63" s="297" t="s">
        <v>389</v>
      </c>
      <c r="H63" s="298">
        <v>1.4232630923202616</v>
      </c>
      <c r="I63" s="299" t="s">
        <v>1413</v>
      </c>
      <c r="J63" s="290"/>
      <c r="K63" s="307"/>
      <c r="L63" s="307"/>
      <c r="M63" s="307"/>
      <c r="N63" s="290"/>
      <c r="O63" s="290"/>
    </row>
    <row r="64" spans="1:15" ht="15" x14ac:dyDescent="0.25">
      <c r="A64" s="304" t="s">
        <v>1725</v>
      </c>
      <c r="B64" s="295">
        <v>8.4033613445378155</v>
      </c>
      <c r="C64" s="299" t="s">
        <v>1439</v>
      </c>
      <c r="D64" s="295">
        <v>11.9</v>
      </c>
      <c r="E64" s="297" t="s">
        <v>1172</v>
      </c>
      <c r="F64" s="296">
        <v>213.38950035738137</v>
      </c>
      <c r="G64" s="297" t="s">
        <v>389</v>
      </c>
      <c r="H64" s="298">
        <v>1.8299096901260505</v>
      </c>
      <c r="I64" s="299" t="s">
        <v>1413</v>
      </c>
      <c r="J64" s="290"/>
      <c r="K64" s="308" t="s">
        <v>1726</v>
      </c>
      <c r="L64" s="307"/>
      <c r="M64" s="307"/>
      <c r="N64" s="290"/>
      <c r="O64" s="290"/>
    </row>
    <row r="65" spans="1:15" ht="15" x14ac:dyDescent="0.25">
      <c r="A65" s="304" t="s">
        <v>1727</v>
      </c>
      <c r="B65" s="295">
        <v>5.4054054054054053</v>
      </c>
      <c r="C65" s="299" t="s">
        <v>1439</v>
      </c>
      <c r="D65" s="295">
        <v>18.5</v>
      </c>
      <c r="E65" s="297" t="s">
        <v>1172</v>
      </c>
      <c r="F65" s="296">
        <v>137.26135428393721</v>
      </c>
      <c r="G65" s="297" t="s">
        <v>389</v>
      </c>
      <c r="H65" s="298">
        <v>1.1770770439189189</v>
      </c>
      <c r="I65" s="299" t="s">
        <v>1413</v>
      </c>
      <c r="J65" s="291" t="s">
        <v>1728</v>
      </c>
      <c r="K65" s="307">
        <v>0.20915032679738554</v>
      </c>
      <c r="L65" s="307">
        <v>-0.17297297297297298</v>
      </c>
      <c r="M65" s="307">
        <v>-0.17297297297297309</v>
      </c>
      <c r="N65" s="290"/>
      <c r="O65" s="290"/>
    </row>
    <row r="66" spans="1:15" ht="15" x14ac:dyDescent="0.25">
      <c r="A66" s="304" t="s">
        <v>1729</v>
      </c>
      <c r="B66" s="295">
        <v>7.1942446043165464</v>
      </c>
      <c r="C66" s="299" t="s">
        <v>1439</v>
      </c>
      <c r="D66" s="295">
        <v>13.9</v>
      </c>
      <c r="E66" s="297" t="s">
        <v>1172</v>
      </c>
      <c r="F66" s="296">
        <v>182.68597512610347</v>
      </c>
      <c r="G66" s="297" t="s">
        <v>389</v>
      </c>
      <c r="H66" s="298">
        <v>1.5666133318345323</v>
      </c>
      <c r="I66" s="299" t="s">
        <v>1413</v>
      </c>
      <c r="J66" s="291" t="s">
        <v>1730</v>
      </c>
      <c r="K66" s="307">
        <v>0.16806722689075637</v>
      </c>
      <c r="L66" s="307">
        <v>-0.14388489208633093</v>
      </c>
      <c r="M66" s="307">
        <v>-0.14388489208633104</v>
      </c>
      <c r="N66" s="290"/>
      <c r="O66" s="290"/>
    </row>
    <row r="67" spans="1:15" ht="15" x14ac:dyDescent="0.25">
      <c r="A67" s="304"/>
      <c r="B67" s="292"/>
      <c r="C67" s="294"/>
      <c r="D67" s="292"/>
      <c r="E67" s="293"/>
      <c r="F67" s="293"/>
      <c r="G67" s="293"/>
      <c r="H67" s="293"/>
      <c r="I67" s="294"/>
      <c r="J67" s="290"/>
      <c r="K67" s="290"/>
      <c r="L67" s="290"/>
      <c r="M67" s="290"/>
      <c r="N67" s="290"/>
      <c r="O67" s="290"/>
    </row>
    <row r="68" spans="1:15" ht="15" x14ac:dyDescent="0.25">
      <c r="A68" s="304"/>
      <c r="B68" s="302" t="s">
        <v>14</v>
      </c>
      <c r="C68" s="294"/>
      <c r="D68" s="292"/>
      <c r="E68" s="293"/>
      <c r="F68" s="293"/>
      <c r="G68" s="293"/>
      <c r="H68" s="293"/>
      <c r="I68" s="294"/>
      <c r="J68" s="290"/>
      <c r="K68" s="290"/>
      <c r="L68" s="290"/>
      <c r="M68" s="290"/>
      <c r="N68" s="290"/>
      <c r="O68" s="290"/>
    </row>
    <row r="69" spans="1:15" ht="15" x14ac:dyDescent="0.25">
      <c r="A69" s="304"/>
      <c r="B69" s="292" t="s">
        <v>1731</v>
      </c>
      <c r="C69" s="294"/>
      <c r="D69" s="292"/>
      <c r="E69" s="293"/>
      <c r="F69" s="293"/>
      <c r="G69" s="293"/>
      <c r="H69" s="293"/>
      <c r="I69" s="294"/>
      <c r="J69" s="290"/>
      <c r="K69" s="290"/>
      <c r="L69" s="290"/>
      <c r="M69" s="290"/>
      <c r="N69" s="290"/>
      <c r="O69" s="290"/>
    </row>
    <row r="70" spans="1:15" ht="15" x14ac:dyDescent="0.25">
      <c r="A70" s="304">
        <v>2015</v>
      </c>
      <c r="B70" s="295">
        <v>5.9171597633136104</v>
      </c>
      <c r="C70" s="299" t="s">
        <v>1439</v>
      </c>
      <c r="D70" s="292">
        <v>16.899999999999999</v>
      </c>
      <c r="E70" s="297" t="s">
        <v>1172</v>
      </c>
      <c r="F70" s="305">
        <v>150.25651208596676</v>
      </c>
      <c r="G70" s="297" t="s">
        <v>389</v>
      </c>
      <c r="H70" s="298">
        <v>1.2885162906804737</v>
      </c>
      <c r="I70" s="299" t="s">
        <v>1413</v>
      </c>
      <c r="J70" s="290"/>
      <c r="K70" s="308" t="s">
        <v>1726</v>
      </c>
      <c r="L70" s="290"/>
      <c r="M70" s="290"/>
      <c r="N70" s="290"/>
      <c r="O70" s="290"/>
    </row>
    <row r="71" spans="1:15" ht="15" x14ac:dyDescent="0.25">
      <c r="A71" s="304">
        <v>2020</v>
      </c>
      <c r="B71" s="295">
        <v>4.9261083743842367</v>
      </c>
      <c r="C71" s="299" t="s">
        <v>1439</v>
      </c>
      <c r="D71" s="292">
        <v>20.3</v>
      </c>
      <c r="E71" s="297" t="s">
        <v>1172</v>
      </c>
      <c r="F71" s="305">
        <v>125.09039676122356</v>
      </c>
      <c r="G71" s="297" t="s">
        <v>389</v>
      </c>
      <c r="H71" s="298">
        <v>1.0727056804187192</v>
      </c>
      <c r="I71" s="299" t="s">
        <v>1413</v>
      </c>
      <c r="J71" s="290"/>
      <c r="K71" s="307">
        <v>0.20118343195266286</v>
      </c>
      <c r="L71" s="290"/>
      <c r="M71" s="290"/>
      <c r="N71" s="290"/>
      <c r="O71" s="290"/>
    </row>
    <row r="72" spans="1:15" ht="15" x14ac:dyDescent="0.25">
      <c r="A72" s="304"/>
      <c r="B72" s="295"/>
      <c r="C72" s="299"/>
      <c r="D72" s="292"/>
      <c r="E72" s="297"/>
      <c r="F72" s="305"/>
      <c r="G72" s="297"/>
      <c r="H72" s="298"/>
      <c r="I72" s="299"/>
      <c r="J72" s="290"/>
      <c r="K72" s="307"/>
      <c r="L72" s="290"/>
      <c r="M72" s="290"/>
      <c r="N72" s="290"/>
      <c r="O72" s="290"/>
    </row>
    <row r="73" spans="1:15" ht="15" x14ac:dyDescent="0.25">
      <c r="A73" s="304"/>
      <c r="B73" s="311" t="s">
        <v>15</v>
      </c>
      <c r="C73" s="299"/>
      <c r="D73" s="292"/>
      <c r="E73" s="297"/>
      <c r="F73" s="305"/>
      <c r="G73" s="297"/>
      <c r="H73" s="298"/>
      <c r="I73" s="299"/>
      <c r="J73" s="290"/>
      <c r="K73" s="307"/>
      <c r="L73" s="290"/>
      <c r="M73" s="290"/>
      <c r="N73" s="290"/>
      <c r="O73" s="290"/>
    </row>
    <row r="74" spans="1:15" ht="15" x14ac:dyDescent="0.25">
      <c r="A74" s="304"/>
      <c r="B74" s="295" t="s">
        <v>1732</v>
      </c>
      <c r="C74" s="299"/>
      <c r="D74" s="292"/>
      <c r="E74" s="297"/>
      <c r="F74" s="305"/>
      <c r="G74" s="297"/>
      <c r="H74" s="298"/>
      <c r="I74" s="299"/>
      <c r="J74" s="290"/>
      <c r="K74" s="307"/>
      <c r="L74" s="290"/>
      <c r="M74" s="290"/>
      <c r="N74" s="290"/>
      <c r="O74" s="290"/>
    </row>
    <row r="75" spans="1:15" ht="15" x14ac:dyDescent="0.25">
      <c r="A75" s="304" t="s">
        <v>1733</v>
      </c>
      <c r="B75" s="295">
        <v>6.442631496225963</v>
      </c>
      <c r="C75" s="299" t="s">
        <v>1439</v>
      </c>
      <c r="D75" s="295">
        <v>15.521607911080919</v>
      </c>
      <c r="E75" s="297" t="s">
        <v>1172</v>
      </c>
      <c r="F75" s="293">
        <v>163.6</v>
      </c>
      <c r="G75" s="297" t="s">
        <v>389</v>
      </c>
      <c r="H75" s="298">
        <v>1.4029426227777668</v>
      </c>
      <c r="I75" s="299" t="s">
        <v>1413</v>
      </c>
      <c r="J75" s="290"/>
      <c r="K75" s="290"/>
      <c r="L75" s="290"/>
      <c r="M75" s="290"/>
      <c r="N75" s="290"/>
      <c r="O75" s="290"/>
    </row>
    <row r="76" spans="1:15" ht="15" x14ac:dyDescent="0.25">
      <c r="A76" s="304" t="s">
        <v>1734</v>
      </c>
      <c r="B76" s="295">
        <v>8.9629763358253616</v>
      </c>
      <c r="C76" s="299" t="s">
        <v>1439</v>
      </c>
      <c r="D76" s="295">
        <v>11.157008146980836</v>
      </c>
      <c r="E76" s="297" t="s">
        <v>1172</v>
      </c>
      <c r="F76" s="305">
        <v>227.6</v>
      </c>
      <c r="G76" s="297" t="s">
        <v>389</v>
      </c>
      <c r="H76" s="298">
        <v>1.95177103266638</v>
      </c>
      <c r="I76" s="299" t="s">
        <v>1413</v>
      </c>
      <c r="J76" s="290"/>
      <c r="K76" s="307"/>
      <c r="L76" s="290"/>
      <c r="M76" s="290"/>
      <c r="N76" s="290"/>
      <c r="O76" s="290"/>
    </row>
    <row r="77" spans="1:15" ht="15" x14ac:dyDescent="0.25">
      <c r="A77" s="304"/>
      <c r="B77" s="292"/>
      <c r="C77" s="294"/>
      <c r="D77" s="292"/>
      <c r="E77" s="293"/>
      <c r="F77" s="293"/>
      <c r="G77" s="293"/>
      <c r="H77" s="293"/>
      <c r="I77" s="294"/>
      <c r="J77" s="290"/>
      <c r="K77" s="290"/>
      <c r="L77" s="290"/>
      <c r="M77" s="290"/>
      <c r="N77" s="290"/>
      <c r="O77" s="290"/>
    </row>
    <row r="78" spans="1:15" ht="15" x14ac:dyDescent="0.25">
      <c r="A78" s="304"/>
      <c r="B78" s="302" t="s">
        <v>11</v>
      </c>
      <c r="C78" s="294"/>
      <c r="D78" s="292"/>
      <c r="E78" s="293"/>
      <c r="F78" s="293"/>
      <c r="G78" s="293"/>
      <c r="H78" s="293"/>
      <c r="I78" s="294"/>
      <c r="J78" s="290"/>
      <c r="K78" s="290"/>
      <c r="L78" s="290"/>
      <c r="M78" s="290"/>
      <c r="N78" s="290"/>
      <c r="O78" s="290"/>
    </row>
    <row r="79" spans="1:15" ht="15" x14ac:dyDescent="0.25">
      <c r="A79" s="304"/>
      <c r="B79" s="301" t="s">
        <v>1438</v>
      </c>
      <c r="C79" s="294"/>
      <c r="D79" s="292"/>
      <c r="E79" s="293"/>
      <c r="F79" s="293"/>
      <c r="G79" s="293"/>
      <c r="H79" s="293"/>
      <c r="I79" s="294"/>
      <c r="J79" s="290"/>
      <c r="K79" s="290"/>
      <c r="L79" s="290"/>
      <c r="M79" s="290"/>
      <c r="N79" s="290"/>
      <c r="O79" s="290"/>
    </row>
    <row r="80" spans="1:15" ht="15" x14ac:dyDescent="0.25">
      <c r="A80" s="304">
        <v>2010</v>
      </c>
      <c r="B80" s="300">
        <v>7.7</v>
      </c>
      <c r="C80" s="299" t="s">
        <v>1439</v>
      </c>
      <c r="D80" s="295">
        <v>12.987012987012987</v>
      </c>
      <c r="E80" s="297" t="s">
        <v>1172</v>
      </c>
      <c r="F80" s="296">
        <v>195.52879917746856</v>
      </c>
      <c r="G80" s="297" t="s">
        <v>389</v>
      </c>
      <c r="H80" s="298">
        <v>1.6767462490625</v>
      </c>
      <c r="I80" s="299" t="s">
        <v>1413</v>
      </c>
      <c r="J80" s="290"/>
      <c r="K80" s="308" t="s">
        <v>1629</v>
      </c>
      <c r="L80" s="290"/>
      <c r="M80" s="290"/>
      <c r="N80" s="290"/>
      <c r="O80" s="290"/>
    </row>
    <row r="81" spans="1:15" ht="15" x14ac:dyDescent="0.25">
      <c r="A81" s="304">
        <v>2013</v>
      </c>
      <c r="B81" s="300">
        <v>7.3</v>
      </c>
      <c r="C81" s="299" t="s">
        <v>1440</v>
      </c>
      <c r="D81" s="295">
        <v>13.698630136986301</v>
      </c>
      <c r="E81" s="297" t="s">
        <v>1172</v>
      </c>
      <c r="F81" s="296">
        <v>185.3714589604572</v>
      </c>
      <c r="G81" s="297" t="s">
        <v>389</v>
      </c>
      <c r="H81" s="298">
        <v>1.5896425478125</v>
      </c>
      <c r="I81" s="299" t="s">
        <v>1413</v>
      </c>
      <c r="J81" s="290"/>
      <c r="K81" s="307">
        <v>5.4794520547945202E-2</v>
      </c>
      <c r="L81" s="307">
        <v>-5.1948051948051965E-2</v>
      </c>
      <c r="M81" s="307">
        <v>-5.1948051948051965E-2</v>
      </c>
      <c r="N81" s="290"/>
      <c r="O81" s="290"/>
    </row>
    <row r="82" spans="1:15" ht="15" x14ac:dyDescent="0.25">
      <c r="A82" s="304">
        <v>2015</v>
      </c>
      <c r="B82" s="292">
        <v>6.9</v>
      </c>
      <c r="C82" s="299" t="s">
        <v>1439</v>
      </c>
      <c r="D82" s="295">
        <v>14.492753623188404</v>
      </c>
      <c r="E82" s="297" t="s">
        <v>1172</v>
      </c>
      <c r="F82" s="296">
        <v>175.21411874344585</v>
      </c>
      <c r="G82" s="297" t="s">
        <v>389</v>
      </c>
      <c r="H82" s="298">
        <v>1.5025388465625003</v>
      </c>
      <c r="I82" s="299" t="s">
        <v>1413</v>
      </c>
      <c r="J82" s="290"/>
      <c r="K82" s="307">
        <v>0.1159420289855071</v>
      </c>
      <c r="L82" s="307">
        <v>-0.10389610389610393</v>
      </c>
      <c r="M82" s="307">
        <v>-0.10389610389610371</v>
      </c>
      <c r="N82" s="290"/>
      <c r="O82" s="290"/>
    </row>
    <row r="83" spans="1:15" ht="15" x14ac:dyDescent="0.25">
      <c r="A83" s="304">
        <v>2020</v>
      </c>
      <c r="B83" s="295">
        <v>5</v>
      </c>
      <c r="C83" s="299" t="s">
        <v>1440</v>
      </c>
      <c r="D83" s="295">
        <v>20</v>
      </c>
      <c r="E83" s="297" t="s">
        <v>1172</v>
      </c>
      <c r="F83" s="296">
        <v>126.96675271264192</v>
      </c>
      <c r="G83" s="297" t="s">
        <v>389</v>
      </c>
      <c r="H83" s="298">
        <v>1.0887962656250001</v>
      </c>
      <c r="I83" s="299" t="s">
        <v>1413</v>
      </c>
      <c r="J83" s="290"/>
      <c r="K83" s="307">
        <v>0.54</v>
      </c>
      <c r="L83" s="307">
        <v>-0.35064935064935066</v>
      </c>
      <c r="M83" s="307">
        <v>-0.35064935064935066</v>
      </c>
      <c r="N83" s="290"/>
      <c r="O83" s="290"/>
    </row>
    <row r="84" spans="1:15" ht="15" x14ac:dyDescent="0.25">
      <c r="A84" s="304"/>
      <c r="B84" s="292"/>
      <c r="C84" s="294"/>
      <c r="D84" s="292"/>
      <c r="E84" s="293"/>
      <c r="F84" s="293"/>
      <c r="G84" s="293"/>
      <c r="H84" s="293"/>
      <c r="I84" s="294"/>
      <c r="J84" s="290"/>
      <c r="K84" s="290"/>
      <c r="L84" s="290"/>
      <c r="M84" s="290"/>
      <c r="N84" s="290"/>
      <c r="O84" s="290"/>
    </row>
    <row r="85" spans="1:15" ht="15" x14ac:dyDescent="0.25">
      <c r="A85" s="304"/>
      <c r="B85" s="301" t="s">
        <v>2066</v>
      </c>
      <c r="C85" s="294"/>
      <c r="D85" s="292"/>
      <c r="E85" s="293"/>
      <c r="F85" s="293"/>
      <c r="G85" s="293"/>
      <c r="H85" s="293"/>
      <c r="I85" s="294"/>
      <c r="J85" s="290"/>
      <c r="K85" s="290"/>
      <c r="L85" s="290"/>
      <c r="M85" s="290"/>
      <c r="N85" s="290"/>
      <c r="O85" s="290"/>
    </row>
    <row r="86" spans="1:15" ht="15" x14ac:dyDescent="0.25">
      <c r="A86" s="294">
        <v>2015</v>
      </c>
      <c r="B86" s="293">
        <v>16</v>
      </c>
      <c r="C86" s="299" t="s">
        <v>1440</v>
      </c>
      <c r="D86" s="305">
        <f>(100/B86)*load_MedTruck</f>
        <v>34.019427750000006</v>
      </c>
      <c r="E86" s="297" t="s">
        <v>1458</v>
      </c>
      <c r="F86" s="296">
        <f>10^3*CO2_IntensityGasolineDiesel/D86</f>
        <v>74.643673400791926</v>
      </c>
      <c r="G86" s="297" t="s">
        <v>389</v>
      </c>
      <c r="H86" s="298">
        <f>(fuel_intensity/D86)/load_MedTruck</f>
        <v>0.1881579663182385</v>
      </c>
      <c r="I86" s="299" t="s">
        <v>1459</v>
      </c>
      <c r="J86" s="290"/>
      <c r="K86" s="290"/>
      <c r="L86" s="290"/>
      <c r="M86" s="290"/>
      <c r="N86" s="290"/>
      <c r="O86" s="290"/>
    </row>
    <row r="87" spans="1:15" s="291" customFormat="1" ht="15" x14ac:dyDescent="0.25">
      <c r="A87" s="294">
        <v>2015</v>
      </c>
      <c r="B87" s="293">
        <v>25</v>
      </c>
      <c r="C87" s="299" t="s">
        <v>1440</v>
      </c>
      <c r="D87" s="305">
        <f>(100/B87)*load_MedTruck</f>
        <v>21.772433760000002</v>
      </c>
      <c r="E87" s="297" t="s">
        <v>1458</v>
      </c>
      <c r="F87" s="296">
        <f>10^3*CO2_IntensityGasolineDiesel/D87</f>
        <v>116.63073968873741</v>
      </c>
      <c r="G87" s="297" t="s">
        <v>389</v>
      </c>
      <c r="H87" s="298">
        <f>(fuel_intensity/D87)/load_MedTruck</f>
        <v>0.29399682237224767</v>
      </c>
      <c r="I87" s="299" t="s">
        <v>1459</v>
      </c>
      <c r="J87" s="534"/>
      <c r="K87" s="534"/>
      <c r="L87" s="534"/>
      <c r="M87" s="534"/>
      <c r="N87" s="534"/>
      <c r="O87" s="534"/>
    </row>
    <row r="88" spans="1:15" s="291" customFormat="1" ht="15" x14ac:dyDescent="0.25">
      <c r="A88" s="294"/>
      <c r="B88" s="293" t="s">
        <v>2065</v>
      </c>
      <c r="C88" s="299"/>
      <c r="D88" s="305"/>
      <c r="E88" s="297"/>
      <c r="F88" s="296"/>
      <c r="G88" s="297"/>
      <c r="H88" s="298"/>
      <c r="I88" s="299"/>
      <c r="J88" s="534"/>
      <c r="K88" s="534"/>
      <c r="L88" s="534"/>
      <c r="M88" s="534"/>
      <c r="N88" s="534"/>
      <c r="O88" s="534"/>
    </row>
    <row r="89" spans="1:15" s="291" customFormat="1" ht="15" x14ac:dyDescent="0.25">
      <c r="A89" s="294">
        <v>2015</v>
      </c>
      <c r="B89" s="293">
        <v>28</v>
      </c>
      <c r="C89" s="299" t="s">
        <v>1440</v>
      </c>
      <c r="D89" s="305">
        <f>(100/B89)*load_HeavyTruck</f>
        <v>38.879346000000005</v>
      </c>
      <c r="E89" s="297" t="s">
        <v>1458</v>
      </c>
      <c r="F89" s="296"/>
      <c r="G89" s="297" t="s">
        <v>389</v>
      </c>
      <c r="H89" s="298">
        <f>(fuel_intensity/D89)/load_HeavyTruck</f>
        <v>8.2319110264229362E-2</v>
      </c>
      <c r="I89" s="299" t="s">
        <v>1459</v>
      </c>
      <c r="J89" s="534"/>
      <c r="K89" s="534"/>
      <c r="L89" s="534"/>
      <c r="M89" s="534"/>
      <c r="N89" s="534"/>
      <c r="O89" s="534"/>
    </row>
    <row r="90" spans="1:15" ht="15" x14ac:dyDescent="0.25">
      <c r="A90" s="950">
        <v>2015</v>
      </c>
      <c r="B90" s="303">
        <v>45.5</v>
      </c>
      <c r="C90" s="951" t="s">
        <v>1440</v>
      </c>
      <c r="D90" s="750">
        <f>(100/B90)*load_HeavyTruck</f>
        <v>23.925751384615388</v>
      </c>
      <c r="E90" s="952" t="s">
        <v>1458</v>
      </c>
      <c r="F90" s="953"/>
      <c r="G90" s="952" t="s">
        <v>389</v>
      </c>
      <c r="H90" s="954">
        <f>(fuel_intensity/D90)/load_HeavyTruck</f>
        <v>0.1337685541793727</v>
      </c>
      <c r="I90" s="951" t="s">
        <v>1459</v>
      </c>
      <c r="J90" s="290"/>
      <c r="K90" s="290"/>
      <c r="L90" s="290"/>
      <c r="M90" s="290"/>
      <c r="N90" s="290"/>
      <c r="O90" s="290"/>
    </row>
  </sheetData>
  <hyperlinks>
    <hyperlink ref="O25" r:id="rId1" xr:uid="{00000000-0004-0000-0800-000000000000}"/>
    <hyperlink ref="W13" r:id="rId2" location="tbl2" xr:uid="{00000000-0004-0000-0800-000001000000}"/>
    <hyperlink ref="W10" r:id="rId3" location="tbl2" xr:uid="{00000000-0004-0000-0800-000002000000}"/>
    <hyperlink ref="W8" r:id="rId4" xr:uid="{00000000-0004-0000-0800-000003000000}"/>
    <hyperlink ref="O4" r:id="rId5" xr:uid="{00000000-0004-0000-0800-000004000000}"/>
    <hyperlink ref="O3" r:id="rId6" xr:uid="{00000000-0004-0000-0800-000005000000}"/>
    <hyperlink ref="Y22" r:id="rId7" xr:uid="{00000000-0004-0000-0800-000006000000}"/>
  </hyperlinks>
  <pageMargins left="0.7" right="0.7" top="0.75" bottom="0.75" header="0.3" footer="0.3"/>
  <pageSetup paperSize="9" orientation="portrait" r:id="rId8"/>
  <legacy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7</vt:i4>
      </vt:variant>
    </vt:vector>
  </HeadingPairs>
  <TitlesOfParts>
    <vt:vector size="40" baseType="lpstr">
      <vt:lpstr>CD-LINKS scenario protocol</vt:lpstr>
      <vt:lpstr>Read me</vt:lpstr>
      <vt:lpstr>Acknowledgements</vt:lpstr>
      <vt:lpstr>Deliverable 2.1</vt:lpstr>
      <vt:lpstr>Climate Policy Database</vt:lpstr>
      <vt:lpstr>Protocol</vt:lpstr>
      <vt:lpstr>High impact policies</vt:lpstr>
      <vt:lpstr>Protocol reference (numerical)</vt:lpstr>
      <vt:lpstr>CAFE standards</vt:lpstr>
      <vt:lpstr>NDC emission targets</vt:lpstr>
      <vt:lpstr>NDC policies</vt:lpstr>
      <vt:lpstr>Protocol NDCs (numerical)</vt:lpstr>
      <vt:lpstr>Data</vt:lpstr>
      <vt:lpstr>History GHG emissions G20</vt:lpstr>
      <vt:lpstr>NDC information</vt:lpstr>
      <vt:lpstr>LULUCF Indonesia</vt:lpstr>
      <vt:lpstr>Country LULUCF projections</vt:lpstr>
      <vt:lpstr>Argentina</vt:lpstr>
      <vt:lpstr>Australia</vt:lpstr>
      <vt:lpstr>Brazil</vt:lpstr>
      <vt:lpstr>Canada</vt:lpstr>
      <vt:lpstr>China</vt:lpstr>
      <vt:lpstr>EU</vt:lpstr>
      <vt:lpstr>India</vt:lpstr>
      <vt:lpstr>Indonesia</vt:lpstr>
      <vt:lpstr>Japan</vt:lpstr>
      <vt:lpstr>Mexico</vt:lpstr>
      <vt:lpstr>Russia</vt:lpstr>
      <vt:lpstr>Saudi Arabia</vt:lpstr>
      <vt:lpstr>South Africa</vt:lpstr>
      <vt:lpstr>South Korea</vt:lpstr>
      <vt:lpstr>Turkey</vt:lpstr>
      <vt:lpstr>USA</vt:lpstr>
      <vt:lpstr>CO2_IntensityGasolineDiesel</vt:lpstr>
      <vt:lpstr>fuel_intensity</vt:lpstr>
      <vt:lpstr>LiterPerGallon</vt:lpstr>
      <vt:lpstr>Load</vt:lpstr>
      <vt:lpstr>load_HeavyTruck</vt:lpstr>
      <vt:lpstr>load_MedTruck</vt:lpstr>
      <vt:lpstr>MileToKm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2018-04-18T15:31:00Z</dcterms:created>
  <dcterms:modified xsi:type="dcterms:W3CDTF">2019-05-29T14:51:43Z</dcterms:modified>
</cp:coreProperties>
</file>